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Калинина14" sheetId="1" r:id="rId1"/>
  </sheets>
  <calcPr calcId="145621"/>
</workbook>
</file>

<file path=xl/calcChain.xml><?xml version="1.0" encoding="utf-8"?>
<calcChain xmlns="http://schemas.openxmlformats.org/spreadsheetml/2006/main">
  <c r="C18" i="1" l="1"/>
  <c r="C19" i="1"/>
  <c r="C22" i="1"/>
  <c r="C23" i="1"/>
  <c r="C21" i="1" s="1"/>
  <c r="C20" i="1" s="1"/>
  <c r="C27" i="1" s="1"/>
  <c r="C36" i="1" s="1"/>
  <c r="C25" i="1"/>
  <c r="C24" i="1" s="1"/>
  <c r="C26" i="1"/>
  <c r="C29" i="1"/>
  <c r="C28" i="1" s="1"/>
  <c r="C30" i="1"/>
  <c r="C31" i="1"/>
  <c r="C32" i="1"/>
  <c r="C33" i="1"/>
  <c r="C34" i="1"/>
  <c r="C39" i="1"/>
  <c r="C40" i="1"/>
  <c r="C41" i="1"/>
  <c r="C42" i="1"/>
  <c r="C43" i="1"/>
  <c r="C44" i="1"/>
  <c r="C45" i="1"/>
  <c r="C46" i="1"/>
  <c r="C52" i="1" s="1"/>
  <c r="C47" i="1"/>
  <c r="C48" i="1"/>
  <c r="C49" i="1"/>
  <c r="C50" i="1"/>
  <c r="C51" i="1"/>
  <c r="C54" i="1"/>
  <c r="C55" i="1"/>
  <c r="C61" i="1" s="1"/>
  <c r="C58" i="1"/>
  <c r="C60" i="1"/>
  <c r="C68" i="1"/>
  <c r="C69" i="1"/>
  <c r="C70" i="1"/>
  <c r="C72" i="1"/>
  <c r="C71" i="1" l="1"/>
  <c r="C73" i="1"/>
  <c r="C74" i="1" l="1"/>
  <c r="C75" i="1" l="1"/>
  <c r="C76" i="1"/>
  <c r="C77" i="1" s="1"/>
  <c r="C78" i="1" s="1"/>
</calcChain>
</file>

<file path=xl/sharedStrings.xml><?xml version="1.0" encoding="utf-8"?>
<sst xmlns="http://schemas.openxmlformats.org/spreadsheetml/2006/main" count="137" uniqueCount="118">
  <si>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</si>
  <si>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</si>
  <si>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</si>
  <si>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</si>
  <si>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     В расходной части сметы не учтены затраты на текущий ремонт МКД.</t>
  </si>
  <si>
    <t>.-71404,50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</si>
  <si>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</si>
  <si>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</si>
  <si>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</si>
  <si>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</si>
  <si>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</si>
  <si>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1раз в месяц</t>
  </si>
  <si>
    <t>(Прямые расходы+общеэкспуатационные расходы)*0,159**</t>
  </si>
  <si>
    <t xml:space="preserve">8.Управление домом </t>
  </si>
  <si>
    <t>0,80 руб./кв.м.*2124,1кв.м.*12мес.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</si>
  <si>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</si>
  <si>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</si>
  <si>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</si>
  <si>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1,28руб./кв.м*(2124,1+162,2)кв.м.</t>
  </si>
  <si>
    <t>5.ОДС</t>
  </si>
  <si>
    <t>2,096 руб./кв.м.*(2124,1+162,2)кв.м.</t>
  </si>
  <si>
    <t>4.Аварийно-ремонтная служба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</si>
  <si>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</si>
  <si>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</si>
  <si>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</si>
  <si>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</si>
  <si>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.-ремонт откосов</t>
  </si>
  <si>
    <t>.-смена оконных блоков</t>
  </si>
  <si>
    <t>3.Текущий ремонт</t>
  </si>
  <si>
    <t>Всего по п.2:</t>
  </si>
  <si>
    <t>(251,27ч/час*82,67руб./час)+(251,27ч/час*82,67руб./час/1,302)*25%</t>
  </si>
  <si>
    <t>-резерв на непредвиденные работы</t>
  </si>
  <si>
    <t>-покраска металлических ограждений</t>
  </si>
  <si>
    <t>гидравлич.испытания - 1раз в год,   промывка - 1раз в 3 года</t>
  </si>
  <si>
    <t>(560,69руб./куб.м.+(208,49/3)руб./куб.м.)*10780/1000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</si>
  <si>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</si>
  <si>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</si>
  <si>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</si>
  <si>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в зимний период</t>
  </si>
  <si>
    <t>14,86руб./кв.м.*992кв.м.</t>
  </si>
  <si>
    <t>-очистка кровли от снега</t>
  </si>
  <si>
    <t>(9,75ч/час*82,67руб./час.+0,518руб./м.кв.*(2124,1+162,2)кв.м.)*12мес.</t>
  </si>
  <si>
    <t>.-профосмотры:в т.ч.сезонные осмотры</t>
  </si>
  <si>
    <t>2.Техническая эксплуатация</t>
  </si>
  <si>
    <t>Всего по п.1:</t>
  </si>
  <si>
    <t>по графику</t>
  </si>
  <si>
    <t>0,42куб.м.*176,76руб.*12мес.</t>
  </si>
  <si>
    <t>.-вывоз мусора (арендаторы)</t>
  </si>
  <si>
    <t>((113,78руб./чел.в мес.*83чел.*6мес.*1,65/12)+(127,20 руб./чел.в мес.*83чел.*6мес.*1,65/12))</t>
  </si>
  <si>
    <t>.-вывоз мусора (население)САХ</t>
  </si>
  <si>
    <t>0руб./мес.*12 мес.*2 лифта</t>
  </si>
  <si>
    <t>.-комплексное обслуживание лифтов</t>
  </si>
  <si>
    <t>0руб./мес.*12мес./1,18</t>
  </si>
  <si>
    <t>.-т/о и ППР ЗПУ</t>
  </si>
  <si>
    <t>729,74руб./мес.*12 мес./1,18</t>
  </si>
  <si>
    <t>.-т/о приборов учета тепловой энергии</t>
  </si>
  <si>
    <t>4раза в год</t>
  </si>
  <si>
    <t>(2 раза в год*0,62руб./мес.*546,9кв.м.)+(2раза в год*0,65руб./мес.*546,9кв.м.)</t>
  </si>
  <si>
    <t>.-дезинсекция</t>
  </si>
  <si>
    <t>(6раз в год*0,21 руб./мес.*546,9кв.м.)+(6раз в год*0,22руб.в мес.*546,9кв.м.)</t>
  </si>
  <si>
    <t>.-дератизация</t>
  </si>
  <si>
    <t>(2раза в год*47,84 руб.*0 дымоходов)+(2 раза в год*50,38руб.*0дымоходов)</t>
  </si>
  <si>
    <t>.-проверка дымоходов</t>
  </si>
  <si>
    <t>2раза в год</t>
  </si>
  <si>
    <t>(16,21руб.*28вентк.)+(17,07руб.*28вентк.)</t>
  </si>
  <si>
    <t>-очистка вентканалов</t>
  </si>
  <si>
    <t>(266,83руб./куб.м.*0,02куб.м.*83чел.)*12</t>
  </si>
  <si>
    <t>.- вывоз КГМ</t>
  </si>
  <si>
    <t>((0чел.*8184,66 руб/чел.)+0квартир*8,74724руб/кв)*12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</si>
  <si>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</si>
  <si>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</si>
  <si>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</si>
  <si>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каждый день</t>
  </si>
  <si>
    <t>(0,51чел.*((3059+200)*1,15*1,5*1,083*1,302)+0,053руб./кв.м.асф.покр.*1089,2кв.м.)*12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</si>
  <si>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</si>
  <si>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</si>
  <si>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</si>
  <si>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</si>
  <si>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</si>
  <si>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</si>
  <si>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</si>
  <si>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137,50руб.*12мес.</t>
  </si>
  <si>
    <t>"Скартел"</t>
  </si>
  <si>
    <t>150,00руб.*12мес.</t>
  </si>
  <si>
    <t>"Башинформсвязь"</t>
  </si>
  <si>
    <t>123,75руб.*12мес.</t>
  </si>
  <si>
    <t>"Уфанет"</t>
  </si>
  <si>
    <t>"ЭРТелеком"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</si>
  <si>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</si>
  <si>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</si>
  <si>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</si>
  <si>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</si>
  <si>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</si>
  <si>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0,29куб.м.*176,76руб.*1,18*12мес.</t>
  </si>
  <si>
    <t>Вывоз мусора</t>
  </si>
  <si>
    <t>83кв.м.*12,05руб.*12мес.</t>
  </si>
  <si>
    <t>Тех.обслуживание</t>
  </si>
  <si>
    <t>2) ООО "ОЖХ Орджон.р-на г.Уфы" (83кв.м.)</t>
  </si>
  <si>
    <t>0,13куб.м.*176,76руб.*1,18*12мес.</t>
  </si>
  <si>
    <t>79,2кв.м.*12,05руб.*12мес.</t>
  </si>
  <si>
    <t>1) ИП Никитина Н.А. (79,2кв.м.)</t>
  </si>
  <si>
    <t>2. Начисление по нежилым помещениям</t>
  </si>
  <si>
    <t>((113,78руб./чел.в мес.*83чел.*6мес.*1,65/12)+(127,20 руб./чел.в мес.*83чел.*6мес.*1,65/12))*1,18</t>
  </si>
  <si>
    <t>в т. ч. вывоз мусора (население)</t>
  </si>
  <si>
    <t>2124,1кв.м.*13,05руб.*12 мес.</t>
  </si>
  <si>
    <t>1.Начисление населению</t>
  </si>
  <si>
    <t>Дата исполнения</t>
  </si>
  <si>
    <t>Обоснование:расчет платы на 1 кв.м.площади,ТБО на 1 чел.</t>
  </si>
  <si>
    <t>Статьи доходов</t>
  </si>
  <si>
    <t>Площадь нежилых помещений, кв.м.</t>
  </si>
  <si>
    <t>ЖЭУ-78  (с НДС)</t>
  </si>
  <si>
    <t>Общая площадь, кв. м.</t>
  </si>
  <si>
    <t xml:space="preserve">Смета доходов  и расходов на содержание и текущий ремонт общедомового имущества дома №14,  ул. Калинина </t>
  </si>
  <si>
    <t>План работ на 2014г., согласно Постановлению Правительства РФ от 23 сентября 2010г. №731 п.11 пп.б</t>
  </si>
  <si>
    <t>____________________Р.А. Янышев</t>
  </si>
  <si>
    <t>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</si>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</sst>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9" fontId="22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41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0" fontId="2" fillId="0" borderId="0" xfId="0" applyFont="1" applyBorder="1" applyAlignment="1">
      <alignment vertical="center"/>
    </xf>
    <xf numFmtId="0" fontId="2" fillId="5" borderId="0" xfId="0" applyFont="1" applyFill="1"/>
    <xf numFmtId="0" fontId="2" fillId="0" borderId="1" xfId="0" applyFont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8" fillId="3" borderId="3" xfId="0" applyFont="1" applyFill="1" applyBorder="1"/>
    <xf numFmtId="0" fontId="9" fillId="0" borderId="0" xfId="0" applyFont="1"/>
    <xf numFmtId="0" fontId="10" fillId="0" borderId="1" xfId="0" applyFont="1" applyBorder="1" applyAlignment="1">
      <alignment vertical="center"/>
    </xf>
    <xf numFmtId="2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13" fillId="0" borderId="1" xfId="0" applyFont="1" applyBorder="1" applyAlignment="1">
      <alignment vertical="center"/>
    </xf>
    <xf numFmtId="4" fontId="11" fillId="4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14" fillId="0" borderId="0" xfId="0" applyFont="1"/>
    <xf numFmtId="0" fontId="14" fillId="3" borderId="3" xfId="0" applyFont="1" applyFill="1" applyBorder="1" applyAlignment="1">
      <alignment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8" fillId="3" borderId="2" xfId="0" applyFont="1" applyFill="1" applyBorder="1"/>
    <xf numFmtId="4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4" fontId="1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11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wrapText="1"/>
    </xf>
    <xf numFmtId="0" fontId="8" fillId="4" borderId="3" xfId="2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7" fillId="3" borderId="0" xfId="0" applyFont="1" applyFill="1"/>
  </cellXfs>
  <cellStyles count="18"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5" xfId="2"/>
    <cellStyle name="Процентный 2" xfId="8"/>
    <cellStyle name="Процентный 2 2" xfId="9"/>
    <cellStyle name="Процентный 3" xfId="10"/>
    <cellStyle name="Процентный 4" xfId="11"/>
    <cellStyle name="Финансовый" xfId="1" builtinId="3"/>
    <cellStyle name="Финансовый [0] 2" xfId="12"/>
    <cellStyle name="Финансовый [0] 2 2" xfId="13"/>
    <cellStyle name="Финансовый [0] 3" xfId="14"/>
    <cellStyle name="Финансовый [0] 4" xfId="15"/>
    <cellStyle name="Финансовый 2 2" xfId="16"/>
    <cellStyle name="Финансовый 2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zoomScale="130" zoomScaleNormal="130" workbookViewId="0">
      <selection activeCell="E79" sqref="E79"/>
    </sheetView>
  </sheetViews>
  <sheetFormatPr defaultColWidth="9.140625" defaultRowHeight="15" x14ac:dyDescent="0.25"/>
  <cols>
    <col min="1" max="1" width="4" style="1" customWidth="1"/>
    <col min="2" max="2" width="44.7109375" style="1" customWidth="1"/>
    <col min="3" max="3" width="14.5703125" style="3" customWidth="1"/>
    <col min="4" max="4" width="33.42578125" style="3" customWidth="1"/>
    <col min="5" max="5" width="17.85546875" style="2" customWidth="1"/>
    <col min="6" max="16384" width="9.140625" style="1"/>
  </cols>
  <sheetData>
    <row r="1" spans="2:5" x14ac:dyDescent="0.25">
      <c r="C1" s="19"/>
      <c r="D1" s="19"/>
    </row>
    <row r="2" spans="2:5" x14ac:dyDescent="0.25">
      <c r="C2" s="19"/>
      <c r="D2" s="19"/>
    </row>
    <row r="3" spans="2:5" ht="15.75" x14ac:dyDescent="0.25">
      <c r="B3" s="6"/>
      <c r="C3" s="1"/>
      <c r="D3" s="111" t="s">
        <v>117</v>
      </c>
    </row>
    <row r="4" spans="2:5" ht="15.75" x14ac:dyDescent="0.25">
      <c r="B4" s="6"/>
      <c r="C4" s="6"/>
      <c r="D4" s="111" t="s">
        <v>116</v>
      </c>
    </row>
    <row r="5" spans="2:5" ht="15.75" x14ac:dyDescent="0.25">
      <c r="B5" s="6"/>
      <c r="C5" s="6"/>
      <c r="D5" s="111" t="s">
        <v>115</v>
      </c>
    </row>
    <row r="6" spans="2:5" ht="15.75" x14ac:dyDescent="0.25">
      <c r="B6" s="6"/>
      <c r="C6" s="6"/>
      <c r="D6" s="111"/>
    </row>
    <row r="7" spans="2:5" ht="15.75" x14ac:dyDescent="0.25">
      <c r="B7" s="6"/>
      <c r="C7" s="6"/>
      <c r="D7" s="111" t="s">
        <v>114</v>
      </c>
    </row>
    <row r="8" spans="2:5" ht="15.75" x14ac:dyDescent="0.25">
      <c r="B8" s="6"/>
      <c r="C8" s="6"/>
      <c r="D8" s="111"/>
    </row>
    <row r="9" spans="2:5" ht="15.75" x14ac:dyDescent="0.25">
      <c r="B9" s="6"/>
      <c r="C9" s="6"/>
      <c r="D9" s="111"/>
    </row>
    <row r="10" spans="2:5" ht="32.25" customHeight="1" x14ac:dyDescent="0.25">
      <c r="B10" s="110" t="s">
        <v>113</v>
      </c>
      <c r="C10" s="110"/>
      <c r="D10" s="110"/>
    </row>
    <row r="11" spans="2:5" x14ac:dyDescent="0.25">
      <c r="B11" s="110" t="s">
        <v>112</v>
      </c>
      <c r="C11" s="110"/>
      <c r="D11" s="110"/>
    </row>
    <row r="12" spans="2:5" x14ac:dyDescent="0.25">
      <c r="B12" s="110"/>
      <c r="C12" s="110"/>
      <c r="D12" s="110"/>
    </row>
    <row r="13" spans="2:5" ht="15.75" x14ac:dyDescent="0.25">
      <c r="B13" s="109"/>
      <c r="C13" s="109"/>
      <c r="D13" s="109"/>
    </row>
    <row r="14" spans="2:5" ht="15.75" x14ac:dyDescent="0.25">
      <c r="B14" s="108" t="s">
        <v>111</v>
      </c>
      <c r="C14" s="107">
        <v>2124.1</v>
      </c>
      <c r="D14" s="106" t="s">
        <v>110</v>
      </c>
    </row>
    <row r="15" spans="2:5" s="101" customFormat="1" ht="15.75" x14ac:dyDescent="0.25">
      <c r="B15" s="105" t="s">
        <v>109</v>
      </c>
      <c r="C15" s="104">
        <v>565.70000000000005</v>
      </c>
      <c r="D15" s="103"/>
      <c r="E15" s="102"/>
    </row>
    <row r="16" spans="2:5" s="101" customFormat="1" ht="15.75" x14ac:dyDescent="0.25">
      <c r="B16" s="105"/>
      <c r="C16" s="104"/>
      <c r="D16" s="103"/>
      <c r="E16" s="102"/>
    </row>
    <row r="17" spans="2:5" ht="31.5" x14ac:dyDescent="0.25">
      <c r="B17" s="100" t="s">
        <v>108</v>
      </c>
      <c r="C17" s="99" t="s">
        <v>77</v>
      </c>
      <c r="D17" s="98" t="s">
        <v>107</v>
      </c>
      <c r="E17" s="97" t="s">
        <v>106</v>
      </c>
    </row>
    <row r="18" spans="2:5" x14ac:dyDescent="0.25">
      <c r="B18" s="96" t="s">
        <v>105</v>
      </c>
      <c r="C18" s="95">
        <f>C14*13.05*12</f>
        <v>332634.06</v>
      </c>
      <c r="D18" s="94" t="s">
        <v>104</v>
      </c>
      <c r="E18" s="40" t="s">
        <v>11</v>
      </c>
    </row>
    <row r="19" spans="2:5" ht="51" x14ac:dyDescent="0.25">
      <c r="B19" s="64" t="s">
        <v>103</v>
      </c>
      <c r="C19" s="28">
        <f>((113.78*1.65/12*83*6)+(127.2*1.65/12*83*6))*1.18</f>
        <v>19471.304489999995</v>
      </c>
      <c r="D19" s="62" t="s">
        <v>102</v>
      </c>
      <c r="E19" s="20"/>
    </row>
    <row r="20" spans="2:5" x14ac:dyDescent="0.25">
      <c r="B20" s="93" t="s">
        <v>101</v>
      </c>
      <c r="C20" s="76">
        <f>C21+C24</f>
        <v>24505.347072000004</v>
      </c>
      <c r="D20" s="62"/>
      <c r="E20" s="20"/>
    </row>
    <row r="21" spans="2:5" x14ac:dyDescent="0.25">
      <c r="B21" s="29" t="s">
        <v>100</v>
      </c>
      <c r="C21" s="92">
        <f>C22+C23</f>
        <v>11777.699808000001</v>
      </c>
      <c r="D21" s="91"/>
      <c r="E21" s="20"/>
    </row>
    <row r="22" spans="2:5" x14ac:dyDescent="0.25">
      <c r="B22" s="88" t="s">
        <v>96</v>
      </c>
      <c r="C22" s="90">
        <f>79.2*12.05*12</f>
        <v>11452.320000000002</v>
      </c>
      <c r="D22" s="89" t="s">
        <v>99</v>
      </c>
      <c r="E22" s="20" t="s">
        <v>11</v>
      </c>
    </row>
    <row r="23" spans="2:5" x14ac:dyDescent="0.25">
      <c r="B23" s="88" t="s">
        <v>94</v>
      </c>
      <c r="C23" s="87">
        <f>0.13*176.76*1.18*12</f>
        <v>325.37980800000003</v>
      </c>
      <c r="D23" s="86" t="s">
        <v>98</v>
      </c>
      <c r="E23" s="20" t="s">
        <v>11</v>
      </c>
    </row>
    <row r="24" spans="2:5" x14ac:dyDescent="0.25">
      <c r="B24" s="29" t="s">
        <v>97</v>
      </c>
      <c r="C24" s="92">
        <f>C25+C26</f>
        <v>12727.647264000001</v>
      </c>
      <c r="D24" s="91"/>
      <c r="E24" s="20"/>
    </row>
    <row r="25" spans="2:5" x14ac:dyDescent="0.25">
      <c r="B25" s="88" t="s">
        <v>96</v>
      </c>
      <c r="C25" s="90">
        <f>83*12.05*12</f>
        <v>12001.800000000001</v>
      </c>
      <c r="D25" s="89" t="s">
        <v>95</v>
      </c>
      <c r="E25" s="20" t="s">
        <v>11</v>
      </c>
    </row>
    <row r="26" spans="2:5" x14ac:dyDescent="0.25">
      <c r="B26" s="88" t="s">
        <v>94</v>
      </c>
      <c r="C26" s="87">
        <f>0.29*176.76*1.18*12</f>
        <v>725.84726399999988</v>
      </c>
      <c r="D26" s="86" t="s">
        <v>93</v>
      </c>
      <c r="E26" s="20" t="s">
        <v>11</v>
      </c>
    </row>
    <row r="27" spans="2:5" ht="15.75" x14ac:dyDescent="0.25">
      <c r="B27" s="85" t="s">
        <v>92</v>
      </c>
      <c r="C27" s="83">
        <f>C18+C20</f>
        <v>357139.40707199997</v>
      </c>
      <c r="D27" s="44"/>
      <c r="E27" s="20"/>
    </row>
    <row r="28" spans="2:5" x14ac:dyDescent="0.25">
      <c r="B28" s="84" t="s">
        <v>91</v>
      </c>
      <c r="C28" s="83">
        <f>C29+C30+C31+C32+C33+C34</f>
        <v>5189.76</v>
      </c>
      <c r="D28" s="44"/>
      <c r="E28" s="20"/>
    </row>
    <row r="29" spans="2:5" x14ac:dyDescent="0.25">
      <c r="B29" s="29" t="s">
        <v>90</v>
      </c>
      <c r="C29" s="83">
        <f>34.98*12</f>
        <v>419.76</v>
      </c>
      <c r="D29" s="44" t="s">
        <v>89</v>
      </c>
      <c r="E29" s="20" t="s">
        <v>11</v>
      </c>
    </row>
    <row r="30" spans="2:5" x14ac:dyDescent="0.25">
      <c r="B30" s="29" t="s">
        <v>88</v>
      </c>
      <c r="C30" s="83">
        <f>137.5*12*0</f>
        <v>0</v>
      </c>
      <c r="D30" s="44" t="s">
        <v>81</v>
      </c>
      <c r="E30" s="20"/>
    </row>
    <row r="31" spans="2:5" x14ac:dyDescent="0.25">
      <c r="B31" s="29" t="s">
        <v>87</v>
      </c>
      <c r="C31" s="83">
        <f>123.75*12</f>
        <v>1485</v>
      </c>
      <c r="D31" s="44" t="s">
        <v>85</v>
      </c>
      <c r="E31" s="20" t="s">
        <v>11</v>
      </c>
    </row>
    <row r="32" spans="2:5" x14ac:dyDescent="0.25">
      <c r="B32" s="29" t="s">
        <v>86</v>
      </c>
      <c r="C32" s="45">
        <f>123.75*12</f>
        <v>1485</v>
      </c>
      <c r="D32" s="44" t="s">
        <v>85</v>
      </c>
      <c r="E32" s="20" t="s">
        <v>11</v>
      </c>
    </row>
    <row r="33" spans="2:8" x14ac:dyDescent="0.25">
      <c r="B33" s="29" t="s">
        <v>84</v>
      </c>
      <c r="C33" s="45">
        <f>150*12</f>
        <v>1800</v>
      </c>
      <c r="D33" s="44" t="s">
        <v>83</v>
      </c>
      <c r="E33" s="20" t="s">
        <v>11</v>
      </c>
    </row>
    <row r="34" spans="2:8" x14ac:dyDescent="0.25">
      <c r="B34" s="29" t="s">
        <v>82</v>
      </c>
      <c r="C34" s="45">
        <f>137.5*12*0</f>
        <v>0</v>
      </c>
      <c r="D34" s="44" t="s">
        <v>81</v>
      </c>
      <c r="E34" s="20"/>
    </row>
    <row r="35" spans="2:8" x14ac:dyDescent="0.25">
      <c r="B35" s="84" t="s">
        <v>80</v>
      </c>
      <c r="C35" s="83">
        <v>0</v>
      </c>
      <c r="D35" s="44"/>
      <c r="E35" s="20"/>
      <c r="G35" s="1" t="s">
        <v>79</v>
      </c>
    </row>
    <row r="36" spans="2:8" ht="18.75" x14ac:dyDescent="0.3">
      <c r="B36" s="82" t="s">
        <v>8</v>
      </c>
      <c r="C36" s="81">
        <f>C27+C28+C35</f>
        <v>362329.16707199998</v>
      </c>
      <c r="D36" s="44"/>
      <c r="E36" s="20"/>
    </row>
    <row r="37" spans="2:8" ht="15.75" x14ac:dyDescent="0.25">
      <c r="B37" s="80" t="s">
        <v>78</v>
      </c>
      <c r="C37" s="79" t="s">
        <v>77</v>
      </c>
      <c r="D37" s="78" t="s">
        <v>76</v>
      </c>
      <c r="E37" s="20"/>
    </row>
    <row r="38" spans="2:8" ht="15.75" x14ac:dyDescent="0.25">
      <c r="B38" s="77" t="s">
        <v>75</v>
      </c>
      <c r="C38" s="76"/>
      <c r="D38" s="75"/>
      <c r="E38" s="20"/>
      <c r="H38" s="74"/>
    </row>
    <row r="39" spans="2:8" ht="38.25" x14ac:dyDescent="0.25">
      <c r="B39" s="70" t="s">
        <v>74</v>
      </c>
      <c r="C39" s="73">
        <f>(0.51*((3059+200)*1.15*1.5*1.083*1.302)+0.053*1089.2)*12</f>
        <v>49206.422777357999</v>
      </c>
      <c r="D39" s="72" t="s">
        <v>73</v>
      </c>
      <c r="E39" s="20" t="s">
        <v>72</v>
      </c>
      <c r="H39" s="61"/>
    </row>
    <row r="40" spans="2:8" ht="15.75" x14ac:dyDescent="0.25">
      <c r="B40" s="70" t="s">
        <v>71</v>
      </c>
      <c r="C40" s="73">
        <f>0*8184.66*12</f>
        <v>0</v>
      </c>
      <c r="D40" s="72" t="s">
        <v>70</v>
      </c>
      <c r="E40" s="20"/>
      <c r="H40" s="61"/>
    </row>
    <row r="41" spans="2:8" ht="25.5" x14ac:dyDescent="0.25">
      <c r="B41" s="70" t="s">
        <v>69</v>
      </c>
      <c r="C41" s="73">
        <f>((0*8184.66)+0*8.74724)*12</f>
        <v>0</v>
      </c>
      <c r="D41" s="72" t="s">
        <v>68</v>
      </c>
      <c r="E41" s="20"/>
      <c r="H41" s="61"/>
    </row>
    <row r="42" spans="2:8" s="39" customFormat="1" ht="25.5" x14ac:dyDescent="0.25">
      <c r="B42" s="70" t="s">
        <v>67</v>
      </c>
      <c r="C42" s="45">
        <f>266.83*0.02*83*12</f>
        <v>5315.2536</v>
      </c>
      <c r="D42" s="44" t="s">
        <v>66</v>
      </c>
      <c r="E42" s="40" t="s">
        <v>45</v>
      </c>
      <c r="H42" s="61"/>
    </row>
    <row r="43" spans="2:8" ht="25.5" x14ac:dyDescent="0.25">
      <c r="B43" s="70" t="s">
        <v>65</v>
      </c>
      <c r="C43" s="45">
        <f>(16.21*28)+(17.07*28)</f>
        <v>931.84</v>
      </c>
      <c r="D43" s="71" t="s">
        <v>64</v>
      </c>
      <c r="E43" s="20" t="s">
        <v>63</v>
      </c>
      <c r="H43" s="61"/>
    </row>
    <row r="44" spans="2:8" ht="25.5" x14ac:dyDescent="0.25">
      <c r="B44" s="70" t="s">
        <v>62</v>
      </c>
      <c r="C44" s="45">
        <f>(2*47.84*0)+(2*50.38*0)</f>
        <v>0</v>
      </c>
      <c r="D44" s="71" t="s">
        <v>61</v>
      </c>
      <c r="E44" s="20"/>
      <c r="H44" s="61"/>
    </row>
    <row r="45" spans="2:8" ht="38.25" x14ac:dyDescent="0.25">
      <c r="B45" s="70" t="s">
        <v>60</v>
      </c>
      <c r="C45" s="68">
        <f>((6*0.21*546.9)+(6*0.22*546.9))</f>
        <v>1411.002</v>
      </c>
      <c r="D45" s="67" t="s">
        <v>59</v>
      </c>
      <c r="E45" s="20" t="s">
        <v>11</v>
      </c>
      <c r="H45" s="61"/>
    </row>
    <row r="46" spans="2:8" ht="38.25" x14ac:dyDescent="0.25">
      <c r="B46" s="69" t="s">
        <v>58</v>
      </c>
      <c r="C46" s="68">
        <f>(2*0.62*546.9)+(2*0.65*546.9)</f>
        <v>1389.126</v>
      </c>
      <c r="D46" s="67" t="s">
        <v>57</v>
      </c>
      <c r="E46" s="20" t="s">
        <v>56</v>
      </c>
      <c r="H46" s="61"/>
    </row>
    <row r="47" spans="2:8" ht="15.75" x14ac:dyDescent="0.25">
      <c r="B47" s="64" t="s">
        <v>55</v>
      </c>
      <c r="C47" s="66">
        <f>729.74*12/1.18*0</f>
        <v>0</v>
      </c>
      <c r="D47" s="67" t="s">
        <v>54</v>
      </c>
      <c r="E47" s="20"/>
      <c r="H47" s="61"/>
    </row>
    <row r="48" spans="2:8" ht="15.75" x14ac:dyDescent="0.25">
      <c r="B48" s="64" t="s">
        <v>53</v>
      </c>
      <c r="C48" s="66">
        <f>0*12/1.18</f>
        <v>0</v>
      </c>
      <c r="D48" s="67" t="s">
        <v>52</v>
      </c>
      <c r="E48" s="20"/>
      <c r="H48" s="61"/>
    </row>
    <row r="49" spans="2:8" ht="15.75" x14ac:dyDescent="0.25">
      <c r="B49" s="64" t="s">
        <v>51</v>
      </c>
      <c r="C49" s="66">
        <f>0*2*12</f>
        <v>0</v>
      </c>
      <c r="D49" s="65" t="s">
        <v>50</v>
      </c>
      <c r="E49" s="20"/>
      <c r="H49" s="61"/>
    </row>
    <row r="50" spans="2:8" ht="53.25" customHeight="1" x14ac:dyDescent="0.25">
      <c r="B50" s="64" t="s">
        <v>49</v>
      </c>
      <c r="C50" s="28">
        <f>(113.78*1.65/12*83*6)+(127.2*1.65/12*83*6)</f>
        <v>16501.105499999998</v>
      </c>
      <c r="D50" s="62" t="s">
        <v>48</v>
      </c>
      <c r="E50" s="20" t="s">
        <v>45</v>
      </c>
      <c r="H50" s="61"/>
    </row>
    <row r="51" spans="2:8" ht="15.75" x14ac:dyDescent="0.25">
      <c r="B51" s="64" t="s">
        <v>47</v>
      </c>
      <c r="C51" s="63">
        <f>0.42*176.76*12</f>
        <v>890.87040000000002</v>
      </c>
      <c r="D51" s="62" t="s">
        <v>46</v>
      </c>
      <c r="E51" s="20" t="s">
        <v>45</v>
      </c>
      <c r="H51" s="61"/>
    </row>
    <row r="52" spans="2:8" ht="15.75" x14ac:dyDescent="0.25">
      <c r="B52" s="60" t="s">
        <v>44</v>
      </c>
      <c r="C52" s="47">
        <f>C39+C40+C41+C42+C43+C44+C45+C46+C47+C48+C49+C50+C51</f>
        <v>75645.620277358001</v>
      </c>
      <c r="D52" s="59"/>
      <c r="E52" s="20"/>
    </row>
    <row r="53" spans="2:8" x14ac:dyDescent="0.25">
      <c r="B53" s="50" t="s">
        <v>43</v>
      </c>
      <c r="C53" s="45"/>
      <c r="D53" s="44"/>
      <c r="E53" s="20"/>
    </row>
    <row r="54" spans="2:8" s="57" customFormat="1" ht="25.5" x14ac:dyDescent="0.2">
      <c r="B54" s="58" t="s">
        <v>42</v>
      </c>
      <c r="C54" s="45">
        <f>(9.75*82.67+0.518*(C14+C15))*12</f>
        <v>26392.186799999999</v>
      </c>
      <c r="D54" s="44" t="s">
        <v>41</v>
      </c>
      <c r="E54" s="20"/>
    </row>
    <row r="55" spans="2:8" x14ac:dyDescent="0.25">
      <c r="B55" s="56" t="s">
        <v>40</v>
      </c>
      <c r="C55" s="45">
        <f>14.86*992</f>
        <v>14741.119999999999</v>
      </c>
      <c r="D55" s="55" t="s">
        <v>39</v>
      </c>
      <c r="E55" s="20" t="s">
        <v>38</v>
      </c>
    </row>
    <row r="56" spans="2:8" ht="90" x14ac:dyDescent="0.25">
      <c r="B56" s="54" t="s">
        <v>37</v>
      </c>
      <c r="C56" s="53">
        <v>7000</v>
      </c>
      <c r="D56" s="44"/>
      <c r="E56" s="52"/>
    </row>
    <row r="57" spans="2:8" x14ac:dyDescent="0.25">
      <c r="B57" s="51" t="s">
        <v>36</v>
      </c>
      <c r="C57" s="48">
        <v>3000</v>
      </c>
      <c r="D57" s="44"/>
      <c r="E57" s="20"/>
    </row>
    <row r="58" spans="2:8" ht="60" x14ac:dyDescent="0.25">
      <c r="B58" s="50" t="s">
        <v>35</v>
      </c>
      <c r="C58" s="48">
        <f>(560.69+208.49/3)*10780/1000</f>
        <v>6793.4122666666672</v>
      </c>
      <c r="D58" s="44" t="s">
        <v>34</v>
      </c>
      <c r="E58" s="49" t="s">
        <v>33</v>
      </c>
    </row>
    <row r="59" spans="2:8" x14ac:dyDescent="0.25">
      <c r="B59" s="38" t="s">
        <v>32</v>
      </c>
      <c r="C59" s="48">
        <v>3000</v>
      </c>
      <c r="D59" s="44"/>
      <c r="E59" s="20"/>
    </row>
    <row r="60" spans="2:8" ht="25.5" x14ac:dyDescent="0.25">
      <c r="B60" s="38" t="s">
        <v>31</v>
      </c>
      <c r="C60" s="45">
        <f>(251.27*82.67)+(251.27*82.67/1.302)*0.25</f>
        <v>24761.064421505376</v>
      </c>
      <c r="D60" s="44" t="s">
        <v>30</v>
      </c>
      <c r="E60" s="20"/>
    </row>
    <row r="61" spans="2:8" ht="15.75" x14ac:dyDescent="0.25">
      <c r="B61" s="37" t="s">
        <v>29</v>
      </c>
      <c r="C61" s="47">
        <f>C54+C55+C56+C57+C58+C59+C60</f>
        <v>85687.783488172048</v>
      </c>
      <c r="D61" s="46"/>
      <c r="E61" s="20"/>
    </row>
    <row r="62" spans="2:8" x14ac:dyDescent="0.25">
      <c r="B62" s="38" t="s">
        <v>28</v>
      </c>
      <c r="C62" s="45"/>
      <c r="D62" s="44"/>
      <c r="E62" s="20"/>
    </row>
    <row r="63" spans="2:8" s="39" customFormat="1" x14ac:dyDescent="0.2">
      <c r="B63" s="43" t="s">
        <v>27</v>
      </c>
      <c r="C63" s="42"/>
      <c r="D63" s="41"/>
      <c r="E63" s="40"/>
    </row>
    <row r="64" spans="2:8" x14ac:dyDescent="0.25">
      <c r="B64" s="38" t="s">
        <v>26</v>
      </c>
      <c r="C64" s="28"/>
      <c r="D64" s="27"/>
      <c r="E64" s="20"/>
    </row>
    <row r="65" spans="2:8" x14ac:dyDescent="0.25">
      <c r="B65" s="38" t="s">
        <v>25</v>
      </c>
      <c r="C65" s="28"/>
      <c r="D65" s="27"/>
      <c r="E65" s="20"/>
    </row>
    <row r="66" spans="2:8" x14ac:dyDescent="0.25">
      <c r="B66" s="38" t="s">
        <v>24</v>
      </c>
      <c r="C66" s="28"/>
      <c r="D66" s="27"/>
      <c r="E66" s="20"/>
    </row>
    <row r="67" spans="2:8" x14ac:dyDescent="0.25">
      <c r="B67" s="38" t="s">
        <v>23</v>
      </c>
      <c r="C67" s="28"/>
      <c r="D67" s="27"/>
      <c r="E67" s="20"/>
    </row>
    <row r="68" spans="2:8" ht="15.75" x14ac:dyDescent="0.25">
      <c r="B68" s="37" t="s">
        <v>22</v>
      </c>
      <c r="C68" s="31">
        <f>C63+C64</f>
        <v>0</v>
      </c>
      <c r="D68" s="30"/>
      <c r="E68" s="20"/>
    </row>
    <row r="69" spans="2:8" x14ac:dyDescent="0.25">
      <c r="B69" s="36" t="s">
        <v>21</v>
      </c>
      <c r="C69" s="28">
        <f>2.096*(C14+C15)</f>
        <v>5637.8208000000004</v>
      </c>
      <c r="D69" s="27" t="s">
        <v>20</v>
      </c>
      <c r="E69" s="20"/>
    </row>
    <row r="70" spans="2:8" ht="15.75" x14ac:dyDescent="0.25">
      <c r="B70" s="33" t="s">
        <v>19</v>
      </c>
      <c r="C70" s="32">
        <f>1.28*(C14+C15)</f>
        <v>3442.9440000000004</v>
      </c>
      <c r="D70" s="32" t="s">
        <v>18</v>
      </c>
      <c r="E70" s="20"/>
      <c r="H70" s="35"/>
    </row>
    <row r="71" spans="2:8" x14ac:dyDescent="0.25">
      <c r="B71" s="29" t="s">
        <v>17</v>
      </c>
      <c r="C71" s="28">
        <f>(C52+C61)*0.166</f>
        <v>26781.345025077986</v>
      </c>
      <c r="D71" s="27" t="s">
        <v>16</v>
      </c>
      <c r="E71" s="20"/>
    </row>
    <row r="72" spans="2:8" x14ac:dyDescent="0.25">
      <c r="B72" s="29" t="s">
        <v>15</v>
      </c>
      <c r="C72" s="28">
        <f>0.8*C14*12</f>
        <v>20391.36</v>
      </c>
      <c r="D72" s="34" t="s">
        <v>14</v>
      </c>
      <c r="E72" s="20" t="s">
        <v>11</v>
      </c>
    </row>
    <row r="73" spans="2:8" ht="38.25" x14ac:dyDescent="0.25">
      <c r="B73" s="33" t="s">
        <v>13</v>
      </c>
      <c r="C73" s="32">
        <f>(C52+C61+C71)*0.159</f>
        <v>29910.245057706677</v>
      </c>
      <c r="D73" s="27" t="s">
        <v>12</v>
      </c>
      <c r="E73" s="20" t="s">
        <v>11</v>
      </c>
    </row>
    <row r="74" spans="2:8" ht="15.75" x14ac:dyDescent="0.25">
      <c r="B74" s="26" t="s">
        <v>10</v>
      </c>
      <c r="C74" s="31">
        <f>C69+C70+C71+C72+C73</f>
        <v>86163.714882784669</v>
      </c>
      <c r="D74" s="30"/>
      <c r="E74" s="20"/>
    </row>
    <row r="75" spans="2:8" x14ac:dyDescent="0.25">
      <c r="B75" s="29" t="s">
        <v>9</v>
      </c>
      <c r="C75" s="28">
        <f>(C52+C61+C68+C74)*3%</f>
        <v>7424.913559449441</v>
      </c>
      <c r="D75" s="27"/>
      <c r="E75" s="20"/>
    </row>
    <row r="76" spans="2:8" ht="15.75" x14ac:dyDescent="0.25">
      <c r="B76" s="26" t="s">
        <v>8</v>
      </c>
      <c r="C76" s="25">
        <f>C52+C61+C68+C74+C75</f>
        <v>254922.03220776413</v>
      </c>
      <c r="D76" s="24"/>
      <c r="E76" s="20"/>
    </row>
    <row r="77" spans="2:8" ht="15.75" x14ac:dyDescent="0.25">
      <c r="B77" s="26" t="s">
        <v>7</v>
      </c>
      <c r="C77" s="25">
        <f>C76*1.18</f>
        <v>300807.99800516164</v>
      </c>
      <c r="D77" s="24"/>
      <c r="E77" s="20"/>
    </row>
    <row r="78" spans="2:8" ht="15.75" x14ac:dyDescent="0.25">
      <c r="B78" s="23"/>
      <c r="C78" s="22">
        <f>C36-C77</f>
        <v>61521.169066838338</v>
      </c>
      <c r="D78" s="21"/>
      <c r="E78" s="20"/>
    </row>
    <row r="79" spans="2:8" x14ac:dyDescent="0.25">
      <c r="C79" s="19"/>
      <c r="D79" s="19"/>
      <c r="E79" s="18"/>
    </row>
    <row r="80" spans="2:8" x14ac:dyDescent="0.25">
      <c r="B80" s="6" t="s">
        <v>6</v>
      </c>
      <c r="C80" s="17"/>
      <c r="D80" s="16" t="s">
        <v>5</v>
      </c>
    </row>
    <row r="81" spans="2:4" x14ac:dyDescent="0.25">
      <c r="B81" s="15"/>
      <c r="C81" s="14"/>
      <c r="D81" s="13"/>
    </row>
    <row r="82" spans="2:4" x14ac:dyDescent="0.25">
      <c r="B82" s="12" t="s">
        <v>4</v>
      </c>
      <c r="C82" s="11"/>
      <c r="D82" s="6"/>
    </row>
    <row r="83" spans="2:4" ht="24" customHeight="1" x14ac:dyDescent="0.25">
      <c r="B83" s="10" t="s">
        <v>3</v>
      </c>
      <c r="C83" s="10"/>
      <c r="D83" s="10"/>
    </row>
    <row r="84" spans="2:4" ht="26.25" customHeight="1" x14ac:dyDescent="0.25">
      <c r="B84" s="10" t="s">
        <v>2</v>
      </c>
      <c r="C84" s="10"/>
      <c r="D84" s="10"/>
    </row>
    <row r="85" spans="2:4" x14ac:dyDescent="0.25">
      <c r="B85" s="9"/>
      <c r="C85" s="9"/>
      <c r="D85" s="9"/>
    </row>
    <row r="86" spans="2:4" x14ac:dyDescent="0.25">
      <c r="B86" s="6"/>
      <c r="C86" s="6"/>
      <c r="D86" s="6"/>
    </row>
    <row r="87" spans="2:4" x14ac:dyDescent="0.25">
      <c r="B87" s="6"/>
      <c r="C87" s="6"/>
      <c r="D87" s="6"/>
    </row>
    <row r="88" spans="2:4" ht="18.75" x14ac:dyDescent="0.3">
      <c r="B88" s="8" t="s">
        <v>1</v>
      </c>
      <c r="C88" s="7"/>
      <c r="D88" s="7" t="s">
        <v>0</v>
      </c>
    </row>
    <row r="89" spans="2:4" x14ac:dyDescent="0.25">
      <c r="B89" s="6"/>
      <c r="C89" s="6"/>
      <c r="D89" s="6"/>
    </row>
    <row r="90" spans="2:4" x14ac:dyDescent="0.25">
      <c r="B90" s="6"/>
      <c r="C90" s="6"/>
      <c r="D90" s="6"/>
    </row>
    <row r="91" spans="2:4" x14ac:dyDescent="0.25">
      <c r="B91" s="6"/>
      <c r="C91" s="6"/>
      <c r="D91" s="6"/>
    </row>
    <row r="92" spans="2:4" x14ac:dyDescent="0.25">
      <c r="B92" s="6"/>
      <c r="C92" s="6"/>
      <c r="D92" s="6"/>
    </row>
    <row r="93" spans="2:4" x14ac:dyDescent="0.25">
      <c r="B93" s="6"/>
      <c r="C93" s="6"/>
      <c r="D93" s="6"/>
    </row>
    <row r="95" spans="2:4" x14ac:dyDescent="0.25">
      <c r="B95" s="6"/>
      <c r="C95" s="6"/>
      <c r="D95" s="6"/>
    </row>
    <row r="96" spans="2:4" x14ac:dyDescent="0.25">
      <c r="B96" s="6"/>
      <c r="C96" s="6"/>
      <c r="D96" s="6"/>
    </row>
    <row r="97" spans="5:5" s="4" customFormat="1" x14ac:dyDescent="0.25">
      <c r="E97" s="5"/>
    </row>
    <row r="98" spans="5:5" s="4" customFormat="1" x14ac:dyDescent="0.25">
      <c r="E98" s="5"/>
    </row>
    <row r="99" spans="5:5" s="4" customFormat="1" x14ac:dyDescent="0.25">
      <c r="E99" s="5"/>
    </row>
    <row r="100" spans="5:5" s="4" customFormat="1" x14ac:dyDescent="0.25">
      <c r="E100" s="5"/>
    </row>
    <row r="101" spans="5:5" s="4" customFormat="1" x14ac:dyDescent="0.25">
      <c r="E101" s="5"/>
    </row>
    <row r="102" spans="5:5" s="4" customFormat="1" x14ac:dyDescent="0.25">
      <c r="E102" s="5"/>
    </row>
    <row r="103" spans="5:5" s="4" customFormat="1" x14ac:dyDescent="0.25">
      <c r="E103" s="5"/>
    </row>
    <row r="104" spans="5:5" s="4" customFormat="1" x14ac:dyDescent="0.25">
      <c r="E104" s="5"/>
    </row>
  </sheetData>
  <mergeCells count="4">
    <mergeCell ref="B10:D10"/>
    <mergeCell ref="B11:D12"/>
    <mergeCell ref="B83:D83"/>
    <mergeCell ref="B84:D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Калинина14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2014-06-10T10:34:23Z</dcterms:created>
  <dcterms:modified xsi:type="dcterms:W3CDTF">2014-06-10T10:34:28Z</dcterms:modified>
</cp:coreProperties>
</file>