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095" windowHeight="7395" activeTab="0"/>
  </bookViews>
  <sheets>
    <sheet name="Ульяновых2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<sst xmlns="http://schemas.openxmlformats.org/spreadsheetml/2006/main" count="146" uniqueCount="121">
  <si>
    <t>УТВЕРЖДАЮ</t>
  </si>
  <si>
    <t>И. о. директора ОАО" УЖХ</t>
  </si>
  <si>
    <t>Орджоникидзевского района"</t>
  </si>
  <si>
    <t>____________________Р.А. Янышев</t>
  </si>
  <si>
    <t>План работ на 2014г., согласно Постановлению Правительства РФ от 23 сентября 2010г. №731 п.11 пп.б</t>
  </si>
  <si>
    <t>Общая площадь, кв. м.</t>
  </si>
  <si>
    <t>ЖЭУ-69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</si>
  <si>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</si>
  <si>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</si>
  <si>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</si>
  <si>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</si>
  <si>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</si>
  <si>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1.Начисление населению</t>
  </si>
  <si>
    <t>2463,2кв.м.*11,86руб.*12 мес.</t>
  </si>
  <si>
    <t>1раз в месяц</t>
  </si>
  <si>
    <t>в т. ч. вывоз мусора (население)</t>
  </si>
  <si>
    <t>((113,78руб./чел.в мес.*129чел.*6мес.*1,65/12)+(127,20 руб./чел.в мес.*129чел.*6мес.*1,65/12))*1,18</t>
  </si>
  <si>
    <t>2. Начисление по нежилым помещениям</t>
  </si>
  <si>
    <t>1) ИП Газизова Л.Т. (69,4кв.м.)</t>
  </si>
  <si>
    <t>Тех.обслуживание</t>
  </si>
  <si>
    <t>69,4кв.м.*10,86руб.*12мес.</t>
  </si>
  <si>
    <t>Вывоз мусора</t>
  </si>
  <si>
    <t>3,5куб.м.*176,76руб.*1,18*12мес.</t>
  </si>
  <si>
    <t>2) ОАО трест "НефтеГазВзрывПромСтрой" (422,6кв.м.)</t>
  </si>
  <si>
    <t>422,6кв.м.*10,86руб.*12мес.</t>
  </si>
  <si>
    <t>8,21куб.м.*176,76руб.*1,18*12мес.</t>
  </si>
  <si>
    <t>3) ООО "Бизнес-Флора" (70,2кв.м.)</t>
  </si>
  <si>
    <t>70,2кв.м.*10,86руб.*12мес.</t>
  </si>
  <si>
    <t>0куб.м.*176,76руб.*1,18*12мес.</t>
  </si>
  <si>
    <t>Всего:</t>
  </si>
  <si>
    <t>3.Начисление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</si>
  <si>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</si>
  <si>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</si>
  <si>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</si>
  <si>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</si>
  <si>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"ЭРТелеком"</t>
  </si>
  <si>
    <t>123,75руб.*12мес.</t>
  </si>
  <si>
    <t>"Уфанет"</t>
  </si>
  <si>
    <t>"Башинформсвязь"</t>
  </si>
  <si>
    <t>150,00руб.*12мес.</t>
  </si>
  <si>
    <t>"Скартелл"</t>
  </si>
  <si>
    <t>4.Начисление за рекламу(аренда)</t>
  </si>
  <si>
    <t xml:space="preserve"> 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</si>
  <si>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</si>
  <si>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</si>
  <si>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</si>
  <si>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</si>
  <si>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</si>
  <si>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(0,66чел.*((3059+200)*1,15*1,5*1,083*1,302)+0,053руб./кв.м.асф.покр.*1388,31кв.м.)*12 мес.</t>
  </si>
  <si>
    <t>каждый день</t>
  </si>
  <si>
    <t>.-уборка лестничных клеток</t>
  </si>
  <si>
    <t>0чел*8184,66 руб./чел*12 мес.</t>
  </si>
  <si>
    <t>.-обслуживание мусоропровода</t>
  </si>
  <si>
    <t>((0чел.*8184,66 руб/чел.)+0квартир*8,74724руб/кв)*12</t>
  </si>
  <si>
    <t>.- вывоз КГМ</t>
  </si>
  <si>
    <t>(266,83руб./куб.м.*0,02куб.м.*129чел.)*12</t>
  </si>
  <si>
    <t>по графику</t>
  </si>
  <si>
    <t>-очистка вентканалов</t>
  </si>
  <si>
    <t>(16,21руб.*62вентк.)+(17,07руб.*62вентк.)</t>
  </si>
  <si>
    <t>2раза в год</t>
  </si>
  <si>
    <t>.-проверка дымоходов</t>
  </si>
  <si>
    <t>(2раза в год*47,84 руб.*0 дымоходов)+(2 раза в год*50,38руб.*0дымоходов)</t>
  </si>
  <si>
    <t>.-дератизация</t>
  </si>
  <si>
    <t>(6раз в год*0,21 руб./мес.*580кв.м.)+(6раз в год*0,22руб.в мес.*580кв.м.)</t>
  </si>
  <si>
    <t>.-дезинсекция</t>
  </si>
  <si>
    <t>(2 раза в год*0,62руб./мес.*580кв.м.)+(2раза в год*0,65руб./мес.*580кв.м.)</t>
  </si>
  <si>
    <t>4раза в год</t>
  </si>
  <si>
    <t>.-т/о приборов учета тепловой энергии</t>
  </si>
  <si>
    <t>775,87руб./мес.*12 мес./1,18</t>
  </si>
  <si>
    <t>.-т/о и ППР ЗПУ</t>
  </si>
  <si>
    <t>491,47руб./1,18*12</t>
  </si>
  <si>
    <t>.-комплексное обслуживание лифтов</t>
  </si>
  <si>
    <t>0руб./мес.*12 мес.*2 лифта</t>
  </si>
  <si>
    <t>.-вывоз мусора (население)САХ</t>
  </si>
  <si>
    <t>((113,78руб./чел.в мес.*129чел.*6мес.*1,65/12)+(127,20 руб./чел.в мес.*129чел.*6мес.*1,65/12))</t>
  </si>
  <si>
    <t>.-вывоз мусора (арендаторы)</t>
  </si>
  <si>
    <t>11,71куб.м.*176,76руб.*12мес.</t>
  </si>
  <si>
    <t>Всего по п.1:</t>
  </si>
  <si>
    <t>2.Техническая эксплуатация</t>
  </si>
  <si>
    <t>.-профосмотры:в т.ч.сезонные осмотры</t>
  </si>
  <si>
    <t>(10,09ч/час*82,67руб./час.+0,518руб./м.кв.*(2463,2+562,5)кв.м.)*12мес.</t>
  </si>
  <si>
    <t>-очистка кровли от снега</t>
  </si>
  <si>
    <t>14,86руб./кв.м.*1020кв.м.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</si>
  <si>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</si>
  <si>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</si>
  <si>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</si>
  <si>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</si>
  <si>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(560,69руб./куб.м.+(208,49/3)руб./куб.м.)*11890/1000</t>
  </si>
  <si>
    <t>гидравлич.испытания - 1раз в год,   промывка - 1раз в 3 года</t>
  </si>
  <si>
    <t>-покраска металлических ограждений</t>
  </si>
  <si>
    <t>-резерв на непредвиденные работы</t>
  </si>
  <si>
    <t>(375,36ч/час*82,67руб./час)+(375,36ч/час*82,67руб./час/1,302)*25%</t>
  </si>
  <si>
    <t>Всего по п.2:</t>
  </si>
  <si>
    <t>3.Текущий ремонт</t>
  </si>
  <si>
    <t>.-смена оконных блоков</t>
  </si>
  <si>
    <t>12окон *10000руб.</t>
  </si>
  <si>
    <t>.-смена ВРУ</t>
  </si>
  <si>
    <t xml:space="preserve">-замена эл.проводки </t>
  </si>
  <si>
    <t>-замена входных дверей</t>
  </si>
  <si>
    <t>-резерв и непредвиденные затраты</t>
  </si>
  <si>
    <t>Всего по п.3:</t>
  </si>
  <si>
    <t>4.Аварийно-ремонтная служба</t>
  </si>
  <si>
    <t>2,096 руб./кв.м.*(2463,2+562,5)кв.м.</t>
  </si>
  <si>
    <t>5.ОДС</t>
  </si>
  <si>
    <t>1,28руб./кв.м*(2463,2+562,5)кв.м.</t>
  </si>
  <si>
    <t>6. Общеэксплуатационные расходы</t>
  </si>
  <si>
    <t>Прямые расходы*0,166*</t>
  </si>
  <si>
    <t>7. Услуги по начислению и сбору платежей</t>
  </si>
  <si>
    <t>1,17руб./кв.м.*2463,2кв.м.*12мес.</t>
  </si>
  <si>
    <t xml:space="preserve">8.Управление домом </t>
  </si>
  <si>
    <t>(Прямые расходы+общеэкспуатационные расходы)*0,159**</t>
  </si>
  <si>
    <t>Всего по п.4-8:</t>
  </si>
  <si>
    <t>Рентабельность, 3%</t>
  </si>
  <si>
    <t>Итого стоимость услуг с НДС:</t>
  </si>
  <si>
    <t>Остаток средств на 07.2013г.</t>
  </si>
  <si>
    <t>.70354,56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</si>
  <si>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</si>
  <si>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</si>
  <si>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</si>
  <si>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</si>
  <si>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Смета доходов  и расходов на содержание и текущий ремонт общедомового имущества дома №21 по  ул. Ульяновых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</si>
</sst>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_-* #,##0_р_._-;\-* #,##0_р_._-;_-* \-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left"/>
    </xf>
    <xf numFmtId="0" fontId="5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wrapText="1"/>
    </xf>
    <xf numFmtId="2" fontId="55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54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4" fontId="9" fillId="33" borderId="13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4" fontId="9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0" xfId="57" applyFont="1" applyFill="1" applyBorder="1" applyAlignment="1">
      <alignment vertical="center" wrapText="1"/>
      <protection/>
    </xf>
    <xf numFmtId="4" fontId="9" fillId="33" borderId="15" xfId="57" applyNumberFormat="1" applyFont="1" applyFill="1" applyBorder="1" applyAlignment="1">
      <alignment horizontal="center"/>
      <protection/>
    </xf>
    <xf numFmtId="0" fontId="9" fillId="34" borderId="16" xfId="57" applyFont="1" applyFill="1" applyBorder="1" applyAlignment="1">
      <alignment horizontal="center" vertical="center" wrapText="1"/>
      <protection/>
    </xf>
    <xf numFmtId="4" fontId="9" fillId="33" borderId="17" xfId="57" applyNumberFormat="1" applyFont="1" applyFill="1" applyBorder="1" applyAlignment="1">
      <alignment horizontal="center"/>
      <protection/>
    </xf>
    <xf numFmtId="0" fontId="9" fillId="34" borderId="14" xfId="57" applyFont="1" applyFill="1" applyBorder="1" applyAlignment="1">
      <alignment horizontal="center" vertical="center" wrapText="1"/>
      <protection/>
    </xf>
    <xf numFmtId="0" fontId="5" fillId="33" borderId="18" xfId="0" applyFont="1" applyFill="1" applyBorder="1" applyAlignment="1">
      <alignment wrapText="1"/>
    </xf>
    <xf numFmtId="4" fontId="12" fillId="33" borderId="1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4" fontId="13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2" fontId="13" fillId="33" borderId="19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vertical="center" wrapText="1"/>
    </xf>
    <xf numFmtId="4" fontId="12" fillId="33" borderId="18" xfId="0" applyNumberFormat="1" applyFont="1" applyFill="1" applyBorder="1" applyAlignment="1">
      <alignment horizontal="center" vertical="center"/>
    </xf>
    <xf numFmtId="2" fontId="12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10" fillId="0" borderId="12" xfId="0" applyFont="1" applyBorder="1" applyAlignment="1">
      <alignment/>
    </xf>
    <xf numFmtId="0" fontId="15" fillId="0" borderId="0" xfId="0" applyFont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4" fontId="12" fillId="0" borderId="17" xfId="0" applyNumberFormat="1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 wrapText="1"/>
    </xf>
    <xf numFmtId="4" fontId="9" fillId="33" borderId="17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7" fillId="0" borderId="12" xfId="0" applyFont="1" applyBorder="1" applyAlignment="1">
      <alignment/>
    </xf>
    <xf numFmtId="0" fontId="16" fillId="0" borderId="0" xfId="0" applyFont="1" applyAlignment="1">
      <alignment/>
    </xf>
    <xf numFmtId="0" fontId="9" fillId="33" borderId="11" xfId="0" applyFont="1" applyFill="1" applyBorder="1" applyAlignment="1">
      <alignment wrapText="1"/>
    </xf>
    <xf numFmtId="2" fontId="12" fillId="34" borderId="14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wrapText="1"/>
    </xf>
    <xf numFmtId="4" fontId="12" fillId="34" borderId="17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wrapText="1"/>
    </xf>
    <xf numFmtId="4" fontId="12" fillId="34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9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4" fontId="12" fillId="33" borderId="11" xfId="0" applyNumberFormat="1" applyFont="1" applyFill="1" applyBorder="1" applyAlignment="1">
      <alignment horizontal="center" vertical="center"/>
    </xf>
    <xf numFmtId="2" fontId="12" fillId="33" borderId="19" xfId="0" applyNumberFormat="1" applyFont="1" applyFill="1" applyBorder="1" applyAlignment="1">
      <alignment horizontal="center" vertical="center" wrapText="1"/>
    </xf>
    <xf numFmtId="4" fontId="9" fillId="33" borderId="14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2" fontId="9" fillId="33" borderId="10" xfId="0" applyNumberFormat="1" applyFont="1" applyFill="1" applyBorder="1" applyAlignment="1">
      <alignment horizontal="left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4" fontId="3" fillId="33" borderId="10" xfId="68" applyNumberFormat="1" applyFont="1" applyFill="1" applyBorder="1" applyAlignment="1" applyProtection="1">
      <alignment horizontal="center" vertical="center"/>
      <protection/>
    </xf>
    <xf numFmtId="165" fontId="3" fillId="33" borderId="14" xfId="68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 wrapText="1"/>
    </xf>
    <xf numFmtId="165" fontId="54" fillId="33" borderId="0" xfId="0" applyNumberFormat="1" applyFont="1" applyFill="1" applyAlignment="1">
      <alignment/>
    </xf>
    <xf numFmtId="165" fontId="54" fillId="33" borderId="0" xfId="0" applyNumberFormat="1" applyFont="1" applyFill="1" applyAlignment="1">
      <alignment horizontal="center"/>
    </xf>
    <xf numFmtId="0" fontId="54" fillId="33" borderId="0" xfId="0" applyNumberFormat="1" applyFont="1" applyFill="1" applyAlignment="1">
      <alignment horizontal="center" vertical="center"/>
    </xf>
    <xf numFmtId="165" fontId="18" fillId="33" borderId="0" xfId="0" applyNumberFormat="1" applyFont="1" applyFill="1" applyAlignment="1">
      <alignment/>
    </xf>
    <xf numFmtId="0" fontId="54" fillId="33" borderId="0" xfId="0" applyFont="1" applyFill="1" applyBorder="1" applyAlignment="1">
      <alignment horizontal="left"/>
    </xf>
    <xf numFmtId="0" fontId="54" fillId="33" borderId="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36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9" fillId="33" borderId="0" xfId="0" applyFont="1" applyFill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2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Финансовый [0] 2 2" xfId="71"/>
    <cellStyle name="Финансовый [0] 3" xfId="72"/>
    <cellStyle name="Финансовый [0] 4" xfId="73"/>
    <cellStyle name="Финансовый 2 2" xfId="74"/>
    <cellStyle name="Финансовый 2 3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7"/>
  <sheetViews>
    <sheetView tabSelected="1" zoomScale="70" zoomScaleNormal="70" zoomScalePageLayoutView="0" workbookViewId="0" topLeftCell="A1">
      <selection activeCell="E10" sqref="E10"/>
    </sheetView>
  </sheetViews>
  <sheetFormatPr defaultColWidth="9.140625" defaultRowHeight="15"/>
  <cols>
    <col min="1" max="1" width="4.7109375" style="2" customWidth="1"/>
    <col min="2" max="2" width="44.7109375" style="2" customWidth="1"/>
    <col min="3" max="3" width="14.57421875" style="104" customWidth="1"/>
    <col min="4" max="4" width="33.421875" style="104" customWidth="1"/>
    <col min="5" max="5" width="18.7109375" style="2" customWidth="1"/>
    <col min="6" max="16384" width="9.140625" style="2" customWidth="1"/>
  </cols>
  <sheetData>
    <row r="1" spans="2:4" ht="15">
      <c r="B1" s="1"/>
      <c r="C1" s="1"/>
      <c r="D1" s="1"/>
    </row>
    <row r="2" spans="2:4" ht="15.75">
      <c r="B2" s="1"/>
      <c r="C2" s="2"/>
      <c r="D2" s="3" t="s">
        <v>0</v>
      </c>
    </row>
    <row r="3" spans="2:4" ht="15.75">
      <c r="B3" s="1"/>
      <c r="C3" s="1"/>
      <c r="D3" s="3" t="s">
        <v>1</v>
      </c>
    </row>
    <row r="4" spans="2:4" ht="15.75">
      <c r="B4" s="1"/>
      <c r="C4" s="1"/>
      <c r="D4" s="3" t="s">
        <v>2</v>
      </c>
    </row>
    <row r="5" spans="2:4" ht="15.75">
      <c r="B5" s="1"/>
      <c r="C5" s="1"/>
      <c r="D5" s="3"/>
    </row>
    <row r="6" spans="2:4" ht="15.75">
      <c r="B6" s="1"/>
      <c r="C6" s="1"/>
      <c r="D6" s="3" t="s">
        <v>3</v>
      </c>
    </row>
    <row r="7" spans="2:4" ht="15.75">
      <c r="B7" s="1"/>
      <c r="C7" s="1"/>
      <c r="D7" s="3"/>
    </row>
    <row r="8" spans="2:4" ht="36.75" customHeight="1">
      <c r="B8" s="105" t="s">
        <v>4</v>
      </c>
      <c r="C8" s="105"/>
      <c r="D8" s="105"/>
    </row>
    <row r="9" spans="2:4" ht="15">
      <c r="B9" s="106" t="s">
        <v>120</v>
      </c>
      <c r="C9" s="106"/>
      <c r="D9" s="106"/>
    </row>
    <row r="10" spans="2:4" ht="15">
      <c r="B10" s="106"/>
      <c r="C10" s="106"/>
      <c r="D10" s="106"/>
    </row>
    <row r="11" spans="2:4" ht="15.75">
      <c r="B11" s="4"/>
      <c r="C11" s="4"/>
      <c r="D11" s="4"/>
    </row>
    <row r="12" spans="2:4" ht="15.75">
      <c r="B12" s="5" t="s">
        <v>5</v>
      </c>
      <c r="C12" s="6">
        <v>2463.2</v>
      </c>
      <c r="D12" s="7" t="s">
        <v>6</v>
      </c>
    </row>
    <row r="13" spans="2:4" s="11" customFormat="1" ht="15.75">
      <c r="B13" s="8" t="s">
        <v>7</v>
      </c>
      <c r="C13" s="9">
        <v>562.5</v>
      </c>
      <c r="D13" s="10"/>
    </row>
    <row r="14" spans="2:5" ht="31.5">
      <c r="B14" s="12" t="s">
        <v>8</v>
      </c>
      <c r="C14" s="13" t="s">
        <v>9</v>
      </c>
      <c r="D14" s="14" t="s">
        <v>10</v>
      </c>
      <c r="E14" s="15" t="s">
        <v>11</v>
      </c>
    </row>
    <row r="15" spans="2:5" ht="15">
      <c r="B15" s="16" t="s">
        <v>12</v>
      </c>
      <c r="C15" s="17">
        <f>C12*11.86*12</f>
        <v>350562.62399999995</v>
      </c>
      <c r="D15" s="18" t="s">
        <v>13</v>
      </c>
      <c r="E15" s="19" t="s">
        <v>14</v>
      </c>
    </row>
    <row r="16" spans="2:5" ht="51">
      <c r="B16" s="20" t="s">
        <v>15</v>
      </c>
      <c r="C16" s="21">
        <f>((113.78*1.65/12*129*6)+(127.2*1.65/12*129*6))*1.18</f>
        <v>30262.629869999993</v>
      </c>
      <c r="D16" s="22" t="s">
        <v>16</v>
      </c>
      <c r="E16" s="23"/>
    </row>
    <row r="17" spans="2:5" ht="15">
      <c r="B17" s="24" t="s">
        <v>17</v>
      </c>
      <c r="C17" s="25">
        <f>C18+C21+C24</f>
        <v>102575.11593599999</v>
      </c>
      <c r="D17" s="22"/>
      <c r="E17" s="23"/>
    </row>
    <row r="18" spans="2:5" ht="15">
      <c r="B18" s="26" t="s">
        <v>18</v>
      </c>
      <c r="C18" s="27">
        <f>C19+C20</f>
        <v>17804.433599999997</v>
      </c>
      <c r="D18" s="28"/>
      <c r="E18" s="23"/>
    </row>
    <row r="19" spans="2:5" ht="15">
      <c r="B19" s="29" t="s">
        <v>19</v>
      </c>
      <c r="C19" s="30">
        <f>69.4*10.86*12</f>
        <v>9044.207999999999</v>
      </c>
      <c r="D19" s="31" t="s">
        <v>20</v>
      </c>
      <c r="E19" s="23" t="s">
        <v>14</v>
      </c>
    </row>
    <row r="20" spans="2:5" ht="15">
      <c r="B20" s="29" t="s">
        <v>21</v>
      </c>
      <c r="C20" s="32">
        <f>3.5*176.76*1.18*12</f>
        <v>8760.2256</v>
      </c>
      <c r="D20" s="33" t="s">
        <v>22</v>
      </c>
      <c r="E20" s="23" t="s">
        <v>14</v>
      </c>
    </row>
    <row r="21" spans="2:5" ht="25.5">
      <c r="B21" s="26" t="s">
        <v>23</v>
      </c>
      <c r="C21" s="27">
        <f>C22+C23</f>
        <v>75622.21833599999</v>
      </c>
      <c r="D21" s="28"/>
      <c r="E21" s="23"/>
    </row>
    <row r="22" spans="2:5" ht="15">
      <c r="B22" s="29" t="s">
        <v>19</v>
      </c>
      <c r="C22" s="30">
        <f>422.6*10.86*12</f>
        <v>55073.231999999996</v>
      </c>
      <c r="D22" s="31" t="s">
        <v>24</v>
      </c>
      <c r="E22" s="23" t="s">
        <v>14</v>
      </c>
    </row>
    <row r="23" spans="2:5" ht="15">
      <c r="B23" s="29" t="s">
        <v>21</v>
      </c>
      <c r="C23" s="32">
        <f>8.21*176.76*1.18*12</f>
        <v>20548.986336</v>
      </c>
      <c r="D23" s="33" t="s">
        <v>25</v>
      </c>
      <c r="E23" s="23" t="s">
        <v>14</v>
      </c>
    </row>
    <row r="24" spans="2:5" ht="15">
      <c r="B24" s="26" t="s">
        <v>26</v>
      </c>
      <c r="C24" s="27">
        <f>C25+C26</f>
        <v>9148.464</v>
      </c>
      <c r="D24" s="28"/>
      <c r="E24" s="23"/>
    </row>
    <row r="25" spans="2:5" ht="15">
      <c r="B25" s="29" t="s">
        <v>19</v>
      </c>
      <c r="C25" s="30">
        <f>70.2*10.86*12</f>
        <v>9148.464</v>
      </c>
      <c r="D25" s="31" t="s">
        <v>27</v>
      </c>
      <c r="E25" s="23" t="s">
        <v>14</v>
      </c>
    </row>
    <row r="26" spans="2:5" ht="15">
      <c r="B26" s="29" t="s">
        <v>21</v>
      </c>
      <c r="C26" s="32">
        <f>0*176.76*1.18*12</f>
        <v>0</v>
      </c>
      <c r="D26" s="33" t="s">
        <v>28</v>
      </c>
      <c r="E26" s="23"/>
    </row>
    <row r="27" spans="2:5" ht="15.75">
      <c r="B27" s="34" t="s">
        <v>29</v>
      </c>
      <c r="C27" s="35">
        <f>C15+C17</f>
        <v>453137.73993599997</v>
      </c>
      <c r="D27" s="36"/>
      <c r="E27" s="23"/>
    </row>
    <row r="28" spans="2:5" ht="15">
      <c r="B28" s="37" t="s">
        <v>30</v>
      </c>
      <c r="C28" s="35">
        <f>C29+C30+C31+C32+C33+C34</f>
        <v>8489.76</v>
      </c>
      <c r="D28" s="36"/>
      <c r="E28" s="23"/>
    </row>
    <row r="29" spans="2:5" ht="15">
      <c r="B29" s="26" t="s">
        <v>31</v>
      </c>
      <c r="C29" s="35">
        <f>34.98*12</f>
        <v>419.76</v>
      </c>
      <c r="D29" s="36" t="s">
        <v>32</v>
      </c>
      <c r="E29" s="23" t="s">
        <v>14</v>
      </c>
    </row>
    <row r="30" spans="2:5" ht="15">
      <c r="B30" s="26" t="s">
        <v>33</v>
      </c>
      <c r="C30" s="35">
        <f>137.5*12</f>
        <v>1650</v>
      </c>
      <c r="D30" s="36" t="s">
        <v>34</v>
      </c>
      <c r="E30" s="23" t="s">
        <v>14</v>
      </c>
    </row>
    <row r="31" spans="2:5" ht="15">
      <c r="B31" s="26" t="s">
        <v>35</v>
      </c>
      <c r="C31" s="35">
        <f>123.75*12</f>
        <v>1485</v>
      </c>
      <c r="D31" s="36" t="s">
        <v>36</v>
      </c>
      <c r="E31" s="23" t="s">
        <v>14</v>
      </c>
    </row>
    <row r="32" spans="2:5" ht="15">
      <c r="B32" s="26" t="s">
        <v>37</v>
      </c>
      <c r="C32" s="38">
        <f>123.75*12</f>
        <v>1485</v>
      </c>
      <c r="D32" s="36" t="s">
        <v>36</v>
      </c>
      <c r="E32" s="23" t="s">
        <v>14</v>
      </c>
    </row>
    <row r="33" spans="2:5" ht="15">
      <c r="B33" s="26" t="s">
        <v>38</v>
      </c>
      <c r="C33" s="38">
        <f>150*12</f>
        <v>1800</v>
      </c>
      <c r="D33" s="36" t="s">
        <v>39</v>
      </c>
      <c r="E33" s="23" t="s">
        <v>14</v>
      </c>
    </row>
    <row r="34" spans="2:5" ht="15">
      <c r="B34" s="26" t="s">
        <v>40</v>
      </c>
      <c r="C34" s="38">
        <f>137.5*12</f>
        <v>1650</v>
      </c>
      <c r="D34" s="36" t="s">
        <v>34</v>
      </c>
      <c r="E34" s="23" t="s">
        <v>14</v>
      </c>
    </row>
    <row r="35" spans="2:7" ht="15">
      <c r="B35" s="37" t="s">
        <v>41</v>
      </c>
      <c r="C35" s="35">
        <v>0</v>
      </c>
      <c r="D35" s="36"/>
      <c r="E35" s="23"/>
      <c r="G35" s="2" t="s">
        <v>42</v>
      </c>
    </row>
    <row r="36" spans="2:5" ht="18.75">
      <c r="B36" s="39" t="s">
        <v>43</v>
      </c>
      <c r="C36" s="40">
        <f>C27+C28+C35</f>
        <v>461627.499936</v>
      </c>
      <c r="D36" s="36"/>
      <c r="E36" s="23"/>
    </row>
    <row r="37" spans="2:5" ht="15.75">
      <c r="B37" s="41" t="s">
        <v>44</v>
      </c>
      <c r="C37" s="42" t="s">
        <v>9</v>
      </c>
      <c r="D37" s="43" t="s">
        <v>45</v>
      </c>
      <c r="E37" s="23"/>
    </row>
    <row r="38" spans="2:8" ht="15.75">
      <c r="B38" s="44" t="s">
        <v>46</v>
      </c>
      <c r="C38" s="25"/>
      <c r="D38" s="45"/>
      <c r="E38" s="23"/>
      <c r="H38" s="46"/>
    </row>
    <row r="39" spans="2:8" ht="38.25">
      <c r="B39" s="47" t="s">
        <v>47</v>
      </c>
      <c r="C39" s="48">
        <f>(0.66*((3059+200)*1.15*1.5*1.083*1.302)+0.053*1388.31)*12</f>
        <v>63665.389554228</v>
      </c>
      <c r="D39" s="49" t="s">
        <v>48</v>
      </c>
      <c r="E39" s="23" t="s">
        <v>49</v>
      </c>
      <c r="H39" s="50"/>
    </row>
    <row r="40" spans="2:8" ht="15.75">
      <c r="B40" s="47" t="s">
        <v>50</v>
      </c>
      <c r="C40" s="48">
        <f>0*8184.66*12</f>
        <v>0</v>
      </c>
      <c r="D40" s="49" t="s">
        <v>51</v>
      </c>
      <c r="E40" s="23"/>
      <c r="H40" s="50"/>
    </row>
    <row r="41" spans="2:8" ht="25.5">
      <c r="B41" s="47" t="s">
        <v>52</v>
      </c>
      <c r="C41" s="48">
        <f>((0*8184.66)+0*8.74724)*12</f>
        <v>0</v>
      </c>
      <c r="D41" s="49" t="s">
        <v>53</v>
      </c>
      <c r="E41" s="23"/>
      <c r="H41" s="50"/>
    </row>
    <row r="42" spans="2:8" s="52" customFormat="1" ht="25.5">
      <c r="B42" s="47" t="s">
        <v>54</v>
      </c>
      <c r="C42" s="38">
        <f>266.83*0.02*129*12</f>
        <v>8261.056799999998</v>
      </c>
      <c r="D42" s="36" t="s">
        <v>55</v>
      </c>
      <c r="E42" s="51" t="s">
        <v>56</v>
      </c>
      <c r="H42" s="50"/>
    </row>
    <row r="43" spans="2:8" ht="25.5">
      <c r="B43" s="47" t="s">
        <v>57</v>
      </c>
      <c r="C43" s="38">
        <f>(16.21*62)+(17.07*62)</f>
        <v>2063.36</v>
      </c>
      <c r="D43" s="53" t="s">
        <v>58</v>
      </c>
      <c r="E43" s="23" t="s">
        <v>59</v>
      </c>
      <c r="H43" s="50"/>
    </row>
    <row r="44" spans="2:8" ht="25.5">
      <c r="B44" s="47" t="s">
        <v>60</v>
      </c>
      <c r="C44" s="38">
        <f>(2*47.84*0)+(2*50.38*0)</f>
        <v>0</v>
      </c>
      <c r="D44" s="53" t="s">
        <v>61</v>
      </c>
      <c r="E44" s="23"/>
      <c r="H44" s="50"/>
    </row>
    <row r="45" spans="2:8" ht="38.25">
      <c r="B45" s="47" t="s">
        <v>62</v>
      </c>
      <c r="C45" s="54">
        <f>((6*0.21*580)+(6*0.22*580))</f>
        <v>1496.4</v>
      </c>
      <c r="D45" s="55" t="s">
        <v>63</v>
      </c>
      <c r="E45" s="23" t="s">
        <v>14</v>
      </c>
      <c r="H45" s="50"/>
    </row>
    <row r="46" spans="2:8" ht="38.25">
      <c r="B46" s="56" t="s">
        <v>64</v>
      </c>
      <c r="C46" s="54">
        <f>(2*0.62*580)+(2*0.65*580)</f>
        <v>1473.2</v>
      </c>
      <c r="D46" s="55" t="s">
        <v>65</v>
      </c>
      <c r="E46" s="23" t="s">
        <v>66</v>
      </c>
      <c r="H46" s="50"/>
    </row>
    <row r="47" spans="2:8" ht="15.75">
      <c r="B47" s="20" t="s">
        <v>67</v>
      </c>
      <c r="C47" s="57">
        <f>775.87*12/1.18</f>
        <v>7890.203389830509</v>
      </c>
      <c r="D47" s="55" t="s">
        <v>68</v>
      </c>
      <c r="E47" s="23" t="s">
        <v>14</v>
      </c>
      <c r="H47" s="50"/>
    </row>
    <row r="48" spans="2:8" ht="15.75">
      <c r="B48" s="20" t="s">
        <v>69</v>
      </c>
      <c r="C48" s="57">
        <f>491.47/1.18*12*0</f>
        <v>0</v>
      </c>
      <c r="D48" s="55" t="s">
        <v>70</v>
      </c>
      <c r="E48" s="23"/>
      <c r="H48" s="50"/>
    </row>
    <row r="49" spans="2:8" ht="15.75">
      <c r="B49" s="20" t="s">
        <v>71</v>
      </c>
      <c r="C49" s="57">
        <f>0*2*12</f>
        <v>0</v>
      </c>
      <c r="D49" s="58" t="s">
        <v>72</v>
      </c>
      <c r="E49" s="23"/>
      <c r="H49" s="50"/>
    </row>
    <row r="50" spans="2:8" ht="38.25">
      <c r="B50" s="20" t="s">
        <v>73</v>
      </c>
      <c r="C50" s="21">
        <f>(113.78*1.65/12*129*6)+(127.2*1.65/12*129*6)</f>
        <v>25646.296499999997</v>
      </c>
      <c r="D50" s="22" t="s">
        <v>74</v>
      </c>
      <c r="E50" s="23" t="s">
        <v>56</v>
      </c>
      <c r="H50" s="50"/>
    </row>
    <row r="51" spans="2:8" ht="15.75">
      <c r="B51" s="20" t="s">
        <v>75</v>
      </c>
      <c r="C51" s="59">
        <f>11.71*176.76*12</f>
        <v>24838.315200000005</v>
      </c>
      <c r="D51" s="22" t="s">
        <v>76</v>
      </c>
      <c r="E51" s="23" t="s">
        <v>56</v>
      </c>
      <c r="H51" s="50"/>
    </row>
    <row r="52" spans="2:5" ht="15.75">
      <c r="B52" s="60" t="s">
        <v>77</v>
      </c>
      <c r="C52" s="61">
        <f>C39+C40+C41+C42+C43+C44+C45+C46+C47+C48+C49+C50+C51</f>
        <v>135334.2214440585</v>
      </c>
      <c r="D52" s="62"/>
      <c r="E52" s="23"/>
    </row>
    <row r="53" spans="2:5" ht="15">
      <c r="B53" s="63" t="s">
        <v>78</v>
      </c>
      <c r="C53" s="38"/>
      <c r="D53" s="36"/>
      <c r="E53" s="23"/>
    </row>
    <row r="54" spans="2:5" s="66" customFormat="1" ht="25.5">
      <c r="B54" s="64" t="s">
        <v>79</v>
      </c>
      <c r="C54" s="38">
        <f>(10.09*82.67+0.518*(C12+C13))*12</f>
        <v>28817.434800000003</v>
      </c>
      <c r="D54" s="36" t="s">
        <v>80</v>
      </c>
      <c r="E54" s="65"/>
    </row>
    <row r="55" spans="2:5" ht="15">
      <c r="B55" s="67" t="s">
        <v>81</v>
      </c>
      <c r="C55" s="38">
        <f>14.86*1020</f>
        <v>15157.199999999999</v>
      </c>
      <c r="D55" s="68" t="s">
        <v>82</v>
      </c>
      <c r="E55" s="23" t="s">
        <v>83</v>
      </c>
    </row>
    <row r="56" spans="2:5" ht="90">
      <c r="B56" s="69" t="s">
        <v>84</v>
      </c>
      <c r="C56" s="70">
        <v>0</v>
      </c>
      <c r="D56" s="36"/>
      <c r="E56" s="23"/>
    </row>
    <row r="57" spans="2:5" ht="15">
      <c r="B57" s="71" t="s">
        <v>85</v>
      </c>
      <c r="C57" s="72">
        <v>0</v>
      </c>
      <c r="D57" s="36"/>
      <c r="E57" s="23"/>
    </row>
    <row r="58" spans="2:5" ht="60">
      <c r="B58" s="63" t="s">
        <v>86</v>
      </c>
      <c r="C58" s="72">
        <f>(560.69+208.49/3)*11890/1000</f>
        <v>7492.919466666668</v>
      </c>
      <c r="D58" s="36" t="s">
        <v>87</v>
      </c>
      <c r="E58" s="73" t="s">
        <v>88</v>
      </c>
    </row>
    <row r="59" spans="2:5" ht="15">
      <c r="B59" s="74" t="s">
        <v>89</v>
      </c>
      <c r="C59" s="72">
        <v>0</v>
      </c>
      <c r="D59" s="36"/>
      <c r="E59" s="23"/>
    </row>
    <row r="60" spans="2:5" ht="25.5">
      <c r="B60" s="74" t="s">
        <v>90</v>
      </c>
      <c r="C60" s="38">
        <f>(375.36*82.67)+(375.36*82.67/1.302)*0.25</f>
        <v>36989.34668387097</v>
      </c>
      <c r="D60" s="36" t="s">
        <v>91</v>
      </c>
      <c r="E60" s="23"/>
    </row>
    <row r="61" spans="2:5" ht="15.75">
      <c r="B61" s="75" t="s">
        <v>92</v>
      </c>
      <c r="C61" s="61">
        <f>C54+C55+C56+C57+C58+C59+C60</f>
        <v>88456.90095053765</v>
      </c>
      <c r="D61" s="62"/>
      <c r="E61" s="23"/>
    </row>
    <row r="62" spans="2:5" ht="15">
      <c r="B62" s="74" t="s">
        <v>93</v>
      </c>
      <c r="C62" s="38"/>
      <c r="D62" s="36"/>
      <c r="E62" s="23"/>
    </row>
    <row r="63" spans="2:5" s="52" customFormat="1" ht="15">
      <c r="B63" s="76" t="s">
        <v>94</v>
      </c>
      <c r="C63" s="77">
        <f>12*10000</f>
        <v>120000</v>
      </c>
      <c r="D63" s="78" t="s">
        <v>95</v>
      </c>
      <c r="E63" s="51"/>
    </row>
    <row r="64" spans="2:5" ht="15">
      <c r="B64" s="74" t="s">
        <v>96</v>
      </c>
      <c r="C64" s="21">
        <v>0</v>
      </c>
      <c r="D64" s="79"/>
      <c r="E64" s="23"/>
    </row>
    <row r="65" spans="2:5" ht="15">
      <c r="B65" s="74" t="s">
        <v>97</v>
      </c>
      <c r="C65" s="21"/>
      <c r="D65" s="79"/>
      <c r="E65" s="23"/>
    </row>
    <row r="66" spans="2:5" ht="15">
      <c r="B66" s="74" t="s">
        <v>98</v>
      </c>
      <c r="C66" s="21"/>
      <c r="D66" s="79"/>
      <c r="E66" s="23"/>
    </row>
    <row r="67" spans="2:5" ht="15">
      <c r="B67" s="74" t="s">
        <v>99</v>
      </c>
      <c r="C67" s="21"/>
      <c r="D67" s="79"/>
      <c r="E67" s="23"/>
    </row>
    <row r="68" spans="2:5" ht="15.75">
      <c r="B68" s="75" t="s">
        <v>100</v>
      </c>
      <c r="C68" s="80">
        <f>SUM(C63:C67)</f>
        <v>120000</v>
      </c>
      <c r="D68" s="81"/>
      <c r="E68" s="23"/>
    </row>
    <row r="69" spans="2:5" ht="15">
      <c r="B69" s="82" t="s">
        <v>101</v>
      </c>
      <c r="C69" s="21">
        <f>2.096*(C12+C13)</f>
        <v>6341.8672</v>
      </c>
      <c r="D69" s="79" t="s">
        <v>102</v>
      </c>
      <c r="E69" s="23"/>
    </row>
    <row r="70" spans="2:8" ht="15.75">
      <c r="B70" s="83" t="s">
        <v>103</v>
      </c>
      <c r="C70" s="84">
        <f>1.28*(C12+C13)</f>
        <v>3872.8959999999997</v>
      </c>
      <c r="D70" s="85" t="s">
        <v>104</v>
      </c>
      <c r="E70" s="23"/>
      <c r="H70" s="86"/>
    </row>
    <row r="71" spans="2:5" ht="15">
      <c r="B71" s="26" t="s">
        <v>105</v>
      </c>
      <c r="C71" s="21">
        <f>(C52+C61)*0.166</f>
        <v>37149.326317502964</v>
      </c>
      <c r="D71" s="79" t="s">
        <v>106</v>
      </c>
      <c r="E71" s="23"/>
    </row>
    <row r="72" spans="2:5" ht="15">
      <c r="B72" s="26" t="s">
        <v>107</v>
      </c>
      <c r="C72" s="21">
        <f>1.17*C12*12</f>
        <v>34583.327999999994</v>
      </c>
      <c r="D72" s="87" t="s">
        <v>108</v>
      </c>
      <c r="E72" s="23" t="s">
        <v>14</v>
      </c>
    </row>
    <row r="73" spans="2:5" ht="38.25">
      <c r="B73" s="83" t="s">
        <v>109</v>
      </c>
      <c r="C73" s="84">
        <f>(C52+C61+C71)*0.159</f>
        <v>41489.53134522376</v>
      </c>
      <c r="D73" s="79" t="s">
        <v>110</v>
      </c>
      <c r="E73" s="23" t="s">
        <v>14</v>
      </c>
    </row>
    <row r="74" spans="2:5" ht="15.75">
      <c r="B74" s="88" t="s">
        <v>111</v>
      </c>
      <c r="C74" s="80">
        <f>C69+C70+C71+C72+C73</f>
        <v>123436.94886272673</v>
      </c>
      <c r="D74" s="81"/>
      <c r="E74" s="23"/>
    </row>
    <row r="75" spans="2:5" ht="15">
      <c r="B75" s="26" t="s">
        <v>112</v>
      </c>
      <c r="C75" s="21">
        <f>(C52+C61+C68+C74)*3%</f>
        <v>14016.842137719685</v>
      </c>
      <c r="D75" s="79"/>
      <c r="E75" s="23"/>
    </row>
    <row r="76" spans="2:5" ht="15.75">
      <c r="B76" s="88" t="s">
        <v>43</v>
      </c>
      <c r="C76" s="89">
        <f>C52+C61+C68+C74+C75</f>
        <v>481244.91339504253</v>
      </c>
      <c r="D76" s="90"/>
      <c r="E76" s="23"/>
    </row>
    <row r="77" spans="2:5" ht="15.75">
      <c r="B77" s="88" t="s">
        <v>113</v>
      </c>
      <c r="C77" s="89">
        <f>C76*1.18</f>
        <v>567868.9978061501</v>
      </c>
      <c r="D77" s="90"/>
      <c r="E77" s="23"/>
    </row>
    <row r="78" spans="2:5" ht="15.75">
      <c r="B78" s="91"/>
      <c r="C78" s="92">
        <f>C36-C77</f>
        <v>-106241.49787015014</v>
      </c>
      <c r="D78" s="93"/>
      <c r="E78" s="23"/>
    </row>
    <row r="79" spans="2:4" ht="15">
      <c r="B79" s="1" t="s">
        <v>114</v>
      </c>
      <c r="C79" s="94"/>
      <c r="D79" s="95" t="s">
        <v>115</v>
      </c>
    </row>
    <row r="80" spans="2:4" ht="15">
      <c r="B80" s="1"/>
      <c r="C80" s="96"/>
      <c r="D80" s="97"/>
    </row>
    <row r="81" spans="2:4" ht="15">
      <c r="B81" s="98"/>
      <c r="C81" s="99"/>
      <c r="D81" s="100"/>
    </row>
    <row r="82" spans="2:4" ht="15">
      <c r="B82" s="1"/>
      <c r="C82" s="96"/>
      <c r="D82" s="1"/>
    </row>
    <row r="83" spans="2:4" ht="26.25" customHeight="1">
      <c r="B83" s="107" t="s">
        <v>116</v>
      </c>
      <c r="C83" s="107"/>
      <c r="D83" s="107"/>
    </row>
    <row r="84" spans="2:4" ht="24" customHeight="1">
      <c r="B84" s="107" t="s">
        <v>117</v>
      </c>
      <c r="C84" s="107"/>
      <c r="D84" s="107"/>
    </row>
    <row r="85" spans="2:4" ht="15">
      <c r="B85" s="101"/>
      <c r="C85" s="101"/>
      <c r="D85" s="101"/>
    </row>
    <row r="86" spans="2:4" ht="15">
      <c r="B86" s="101"/>
      <c r="C86" s="101"/>
      <c r="D86" s="101"/>
    </row>
    <row r="87" spans="2:4" ht="15">
      <c r="B87" s="1"/>
      <c r="C87" s="1"/>
      <c r="D87" s="1"/>
    </row>
    <row r="88" spans="2:4" ht="15">
      <c r="B88" s="1"/>
      <c r="C88" s="1"/>
      <c r="D88" s="1"/>
    </row>
    <row r="89" spans="2:4" ht="18.75">
      <c r="B89" s="102" t="s">
        <v>118</v>
      </c>
      <c r="C89" s="102"/>
      <c r="D89" s="102" t="s">
        <v>119</v>
      </c>
    </row>
    <row r="90" spans="2:4" ht="15">
      <c r="B90" s="1"/>
      <c r="C90" s="1"/>
      <c r="D90" s="1"/>
    </row>
    <row r="91" spans="2:4" ht="15">
      <c r="B91" s="1"/>
      <c r="C91" s="1"/>
      <c r="D91" s="1"/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2:4" ht="15">
      <c r="B94" s="1"/>
      <c r="C94" s="1"/>
      <c r="D94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="103" customFormat="1" ht="15"/>
    <row r="99" s="103" customFormat="1" ht="15"/>
    <row r="100" s="103" customFormat="1" ht="15"/>
    <row r="101" s="103" customFormat="1" ht="15"/>
    <row r="102" s="103" customFormat="1" ht="15"/>
    <row r="103" s="103" customFormat="1" ht="15"/>
    <row r="104" s="103" customFormat="1" ht="15"/>
    <row r="105" s="103" customFormat="1" ht="15"/>
  </sheetData>
  <sheetProtection/>
  <mergeCells count="4">
    <mergeCell ref="B8:D8"/>
    <mergeCell ref="B9:D10"/>
    <mergeCell ref="B83:D83"/>
    <mergeCell ref="B84:D8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1</cp:lastModifiedBy>
  <dcterms:created xsi:type="dcterms:W3CDTF">2014-04-29T10:22:15Z</dcterms:created>
  <dcterms:modified xsi:type="dcterms:W3CDTF">2014-05-22T14:14:13Z</dcterms:modified>
  <cp:category/>
  <cp:version/>
  <cp:contentType/>
  <cp:contentStatus/>
</cp:coreProperties>
</file>