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льцевая 32," sheetId="1" r:id="rId1"/>
  </sheets>
  <calcPr calcId="125725"/>
</workbook>
</file>

<file path=xl/calcChain.xml><?xml version="1.0" encoding="utf-8"?>
<calcChain xmlns="http://schemas.openxmlformats.org/spreadsheetml/2006/main">
  <c r="B35" i="1"/>
  <c r="B33"/>
  <c r="B32"/>
  <c r="B51"/>
  <c r="B17"/>
  <c r="B18"/>
  <c r="B56" l="1"/>
  <c r="B16"/>
  <c r="B43"/>
  <c r="B49"/>
  <c r="B48"/>
  <c r="B34"/>
  <c r="B31"/>
  <c r="B66"/>
  <c r="B58"/>
  <c r="B57"/>
  <c r="B55"/>
  <c r="B50"/>
  <c r="B47"/>
  <c r="B46"/>
  <c r="B45"/>
  <c r="B44"/>
  <c r="B42"/>
  <c r="B41"/>
  <c r="B40"/>
  <c r="B30"/>
  <c r="B14"/>
  <c r="B13"/>
  <c r="B67"/>
  <c r="B15" l="1"/>
  <c r="B28" s="1"/>
  <c r="B29"/>
  <c r="B52"/>
  <c r="B54"/>
  <c r="B68"/>
  <c r="B37" l="1"/>
  <c r="B59"/>
  <c r="B69" l="1"/>
  <c r="B70" s="1"/>
  <c r="B71" l="1"/>
  <c r="B72" s="1"/>
  <c r="B73" s="1"/>
  <c r="B74" s="1"/>
  <c r="B76" s="1"/>
  <c r="B75" l="1"/>
</calcChain>
</file>

<file path=xl/sharedStrings.xml><?xml version="1.0" encoding="utf-8"?>
<sst xmlns="http://schemas.openxmlformats.org/spreadsheetml/2006/main" count="139" uniqueCount="129">
  <si>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</si>
  <si>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</si>
  <si>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</si>
  <si>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</si>
  <si>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</si>
  <si>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</si>
  <si>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Тех.обслуживание</t>
  </si>
  <si>
    <t>Вывоз мусора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</si>
  <si>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</si>
  <si>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</si>
  <si>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</si>
  <si>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</si>
  <si>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</si>
  <si>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</si>
  <si>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</si>
  <si>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</si>
  <si>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</si>
  <si>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</si>
  <si>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</si>
  <si>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</si>
  <si>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</si>
  <si>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</si>
  <si>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</si>
  <si>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</si>
  <si>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</si>
  <si>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</si>
  <si>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</si>
  <si>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</si>
  <si>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</si>
  <si>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</si>
  <si>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</si>
  <si>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</si>
  <si>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</si>
  <si>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</si>
  <si>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</si>
  <si>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</si>
  <si>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</si>
  <si>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</si>
  <si>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</si>
  <si>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</si>
  <si>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</si>
  <si>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</si>
  <si>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</si>
  <si>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</si>
  <si>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</si>
  <si>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</si>
  <si>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</si>
  <si>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</si>
  <si>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</si>
  <si>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</si>
  <si>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</si>
  <si>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</si>
  <si>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</si>
  <si>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</si>
  <si>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</si>
  <si>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</si>
  <si>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</si>
  <si>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</si>
  <si>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</si>
  <si>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</si>
  <si>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0чел*8618,11 руб./чел*12 мес.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</si>
  <si>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</si>
  <si>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</si>
  <si>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</si>
  <si>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</si>
  <si>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</si>
  <si>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</si>
  <si>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</si>
  <si>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</si>
  <si>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</si>
  <si>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</si>
  <si>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</si>
  <si>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</si>
  <si>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</si>
  <si>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</si>
  <si>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</si>
  <si>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</si>
  <si>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</si>
  <si>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</si>
  <si>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</si>
  <si>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</si>
  <si>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</si>
  <si>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</si>
  <si>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</si>
  <si>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</si>
  <si>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</si>
  <si>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</si>
  <si>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</si>
  <si>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</si>
  <si>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</si>
  <si>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</si>
  <si>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</si>
  <si>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</si>
  <si>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</si>
  <si>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</si>
  <si>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</si>
  <si>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</si>
  <si>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</si>
  <si>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</si>
  <si>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</si>
  <si>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</si>
  <si>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</si>
  <si>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</si>
  <si>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</si>
  <si>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</si>
  <si>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</si>
  <si>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</si>
  <si>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Смета доходов  и расходов на содержание и текущий ремонт общедомового имущества дома № 32,   ул. Кольцевая</t>
  </si>
  <si>
    <t>1706,2кв.м.*11,86 руб.*12 мес.</t>
  </si>
  <si>
    <t xml:space="preserve">((127,11руб.куб.м.в мес.*62чел.*6мес.*1,65/12)+(144,83 руб./куб.м.в мес.*62чел.*6мес.*1,65/12))*1,18               </t>
  </si>
  <si>
    <t>((127,11руб./куб.м..в мес.*62чел.*6мес.*1,65/12)+(144,83 руб./куб.м.в мес.*62чел.*6мес.*1,65/12))</t>
  </si>
  <si>
    <t xml:space="preserve">(586,14руб./куб.м.+223,96/3руб./куб.м.)*10434/1000      </t>
  </si>
  <si>
    <t>(6раз в год*0,24 руб./мес.*313кв.м.)+(6раз в год*0,25руб.в мес.*313кв.м.)</t>
  </si>
  <si>
    <t>(2 раза в год*2,22руб./мес.*313кв.м.)+(2раза в год*2,34руб./мес.*313кв.м.)</t>
  </si>
  <si>
    <t>13,82руб./кв.м.*1002кв.м</t>
  </si>
  <si>
    <t>(245ч/час*86,9979руб./час)+(245ч/час*86,9979руб./час/1,302)*25%</t>
  </si>
  <si>
    <t>(0,44чел.*((3221+200)*1,15*1,5*1,083*1,302)+0,084руб./кв.м.асф.покр.*1201,8кв.м.)*12 мес.</t>
  </si>
  <si>
    <t>16,86 руб.*21вент.*2раза в год</t>
  </si>
  <si>
    <t>49,72 руб.*21дым.*4 раза в год</t>
  </si>
  <si>
    <t>(256,74руб./куб.м.*0,02куб.м.*62чел.*6мес.)+(270,70руб./куб.м.*0,02куб.м.*62чел.*6мес.)</t>
  </si>
  <si>
    <t>План работ на 2015 год, согласно Постановлению Правительства РФ №731 от 23 сентября 2010г. п.11 пп.б.</t>
  </si>
  <si>
    <t>1) МБУ Объединение клубов для детей, подростков и молодежи "Диалог" ГО г.Уфы РБ (563,4кв.м.)</t>
  </si>
  <si>
    <t>0,79куб.м.*(178,32руб.*1,18*6мес.+179,77руб.*1,18*6мес.)</t>
  </si>
  <si>
    <t>563,4кв.м.*10,86руб.*12мес.</t>
  </si>
  <si>
    <t>0,79куб.м.*(178,32руб.*6мес.+179,77руб.*6мес.)</t>
  </si>
  <si>
    <t>(6,42ч/час*86,9979руб./час.+1,53руб./м.кв.*(1706,2+563,4кв.м.))*12мес.</t>
  </si>
  <si>
    <t>16,24руб./1кв.м*(1706,2+563,4кв.м.)</t>
  </si>
  <si>
    <t>2,679руб./кв.м.*(1706,2+563,4кв.м)</t>
  </si>
  <si>
    <t>1,29руб./кв.м*(1706,2+563,4кв.м)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</si>
</sst>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115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8" fillId="2" borderId="1" xfId="0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13" fillId="0" borderId="3" xfId="2" applyFont="1" applyBorder="1"/>
    <xf numFmtId="0" fontId="0" fillId="0" borderId="3" xfId="0" applyBorder="1"/>
    <xf numFmtId="0" fontId="8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6" fontId="8" fillId="0" borderId="9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Обычный 5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86"/>
  <sheetViews>
    <sheetView tabSelected="1" topLeftCell="A39" workbookViewId="0">
      <selection activeCell="D29" sqref="D29"/>
    </sheetView>
  </sheetViews>
  <sheetFormatPr defaultRowHeight="40.9" customHeight="1"/>
  <cols>
    <col min="1" max="1" width="32.2851562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47</v>
      </c>
    </row>
    <row r="2" spans="1:6" ht="20.45" customHeight="1">
      <c r="A2" s="1"/>
      <c r="B2" s="1"/>
      <c r="C2" s="1" t="s">
        <v>48</v>
      </c>
    </row>
    <row r="3" spans="1:6" ht="20.45" customHeight="1">
      <c r="A3" s="1"/>
      <c r="B3" s="1"/>
      <c r="C3" s="1" t="s">
        <v>49</v>
      </c>
    </row>
    <row r="4" spans="1:6" ht="20.45" customHeight="1">
      <c r="A4" s="1"/>
      <c r="B4" s="1"/>
      <c r="C4" s="1" t="s">
        <v>87</v>
      </c>
    </row>
    <row r="5" spans="1:6" ht="20.45" customHeight="1">
      <c r="A5" s="1"/>
      <c r="B5" s="1"/>
      <c r="C5" s="1"/>
    </row>
    <row r="6" spans="1:6" ht="40.9" customHeight="1">
      <c r="A6" s="113" t="s">
        <v>120</v>
      </c>
      <c r="B6" s="113"/>
      <c r="C6" s="113"/>
      <c r="D6" s="113"/>
    </row>
    <row r="7" spans="1:6" ht="40.9" customHeight="1">
      <c r="A7" s="114" t="s">
        <v>107</v>
      </c>
      <c r="B7" s="114"/>
      <c r="C7" s="114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1706.2</v>
      </c>
      <c r="C10" s="4" t="s">
        <v>105</v>
      </c>
    </row>
    <row r="11" spans="1:6" ht="18.600000000000001" customHeight="1">
      <c r="A11" s="3" t="s">
        <v>50</v>
      </c>
      <c r="B11" s="4">
        <v>563.4</v>
      </c>
      <c r="C11" s="4"/>
    </row>
    <row r="12" spans="1:6" ht="30" customHeight="1">
      <c r="A12" s="6" t="s">
        <v>1</v>
      </c>
      <c r="B12" s="6" t="s">
        <v>2</v>
      </c>
      <c r="C12" s="6" t="s">
        <v>3</v>
      </c>
      <c r="D12" s="61" t="s">
        <v>51</v>
      </c>
      <c r="E12" s="65" t="s">
        <v>86</v>
      </c>
      <c r="F12" s="64">
        <v>11.86</v>
      </c>
    </row>
    <row r="13" spans="1:6" ht="18.600000000000001" customHeight="1">
      <c r="A13" s="7" t="s">
        <v>4</v>
      </c>
      <c r="B13" s="8">
        <f>B10*F12*12</f>
        <v>242826.38399999999</v>
      </c>
      <c r="C13" s="83" t="s">
        <v>108</v>
      </c>
      <c r="D13" s="9" t="s">
        <v>52</v>
      </c>
      <c r="E13" s="64" t="s">
        <v>75</v>
      </c>
      <c r="F13" s="64">
        <v>1706.2</v>
      </c>
    </row>
    <row r="14" spans="1:6" ht="65.25" customHeight="1">
      <c r="A14" s="10" t="s">
        <v>5</v>
      </c>
      <c r="B14" s="11">
        <f>((127.11*F15*6*1.65/12)+(144.83*F15*6*1.65/12))*1.18</f>
        <v>16413.48258</v>
      </c>
      <c r="C14" s="82" t="s">
        <v>109</v>
      </c>
      <c r="D14" s="12"/>
      <c r="E14" s="64" t="s">
        <v>76</v>
      </c>
      <c r="F14" s="64">
        <v>21</v>
      </c>
    </row>
    <row r="15" spans="1:6" ht="28.15" customHeight="1">
      <c r="A15" s="13" t="s">
        <v>95</v>
      </c>
      <c r="B15" s="11">
        <f>B16+B19+B22+B25</f>
        <v>75425.156988000002</v>
      </c>
      <c r="C15" s="82"/>
      <c r="D15" s="14" t="s">
        <v>52</v>
      </c>
      <c r="E15" s="64" t="s">
        <v>77</v>
      </c>
      <c r="F15" s="64">
        <v>62</v>
      </c>
    </row>
    <row r="16" spans="1:6" ht="43.15" customHeight="1">
      <c r="A16" s="108" t="s">
        <v>121</v>
      </c>
      <c r="B16" s="77">
        <f>B17+B18</f>
        <v>75425.156988000002</v>
      </c>
      <c r="C16" s="82"/>
      <c r="D16" s="16"/>
      <c r="E16" s="64" t="s">
        <v>78</v>
      </c>
      <c r="F16" s="64">
        <v>10434</v>
      </c>
    </row>
    <row r="17" spans="1:6" ht="15.75" customHeight="1">
      <c r="A17" s="109" t="s">
        <v>6</v>
      </c>
      <c r="B17" s="78">
        <f>563.4*10.86*12</f>
        <v>73422.288</v>
      </c>
      <c r="C17" s="84" t="s">
        <v>123</v>
      </c>
      <c r="D17" s="16"/>
      <c r="E17" s="64" t="s">
        <v>79</v>
      </c>
      <c r="F17" s="64">
        <v>313</v>
      </c>
    </row>
    <row r="18" spans="1:6" ht="31.9" customHeight="1">
      <c r="A18" s="109" t="s">
        <v>7</v>
      </c>
      <c r="B18" s="79">
        <f>0.79*(178.32*1.18*6+179.77*1.18*6)</f>
        <v>2002.8689880000002</v>
      </c>
      <c r="C18" s="85" t="s">
        <v>122</v>
      </c>
      <c r="D18" s="16"/>
      <c r="E18" s="64" t="s">
        <v>80</v>
      </c>
      <c r="F18" s="64">
        <v>1002</v>
      </c>
    </row>
    <row r="19" spans="1:6" ht="6" customHeight="1">
      <c r="A19" s="108"/>
      <c r="B19" s="77"/>
      <c r="C19" s="82"/>
      <c r="D19" s="16"/>
      <c r="E19" s="64" t="s">
        <v>81</v>
      </c>
      <c r="F19" s="64"/>
    </row>
    <row r="20" spans="1:6" ht="6" customHeight="1">
      <c r="A20" s="109"/>
      <c r="B20" s="78"/>
      <c r="C20" s="84"/>
      <c r="D20" s="16"/>
      <c r="E20" s="64" t="s">
        <v>82</v>
      </c>
      <c r="F20" s="64"/>
    </row>
    <row r="21" spans="1:6" ht="6" customHeight="1">
      <c r="A21" s="109"/>
      <c r="B21" s="79"/>
      <c r="C21" s="85"/>
      <c r="D21" s="16"/>
      <c r="E21" s="64" t="s">
        <v>83</v>
      </c>
      <c r="F21" s="64">
        <v>1201.8</v>
      </c>
    </row>
    <row r="22" spans="1:6" ht="6" customHeight="1">
      <c r="A22" s="108"/>
      <c r="B22" s="77"/>
      <c r="C22" s="82"/>
      <c r="D22" s="16"/>
      <c r="E22" s="64" t="s">
        <v>84</v>
      </c>
      <c r="F22" s="64">
        <v>0</v>
      </c>
    </row>
    <row r="23" spans="1:6" ht="6" customHeight="1">
      <c r="A23" s="109"/>
      <c r="B23" s="78"/>
      <c r="C23" s="84"/>
      <c r="D23" s="16"/>
      <c r="E23" s="64" t="s">
        <v>85</v>
      </c>
      <c r="F23" s="64">
        <v>245</v>
      </c>
    </row>
    <row r="24" spans="1:6" ht="6" customHeight="1">
      <c r="A24" s="109"/>
      <c r="B24" s="79"/>
      <c r="C24" s="85"/>
      <c r="D24" s="16"/>
      <c r="E24" s="64" t="s">
        <v>90</v>
      </c>
      <c r="F24" s="64">
        <v>6.42</v>
      </c>
    </row>
    <row r="25" spans="1:6" ht="6" customHeight="1">
      <c r="A25" s="108"/>
      <c r="B25" s="77"/>
      <c r="C25" s="82"/>
      <c r="D25" s="14"/>
      <c r="E25" s="64" t="s">
        <v>91</v>
      </c>
      <c r="F25" s="64">
        <v>0.44</v>
      </c>
    </row>
    <row r="26" spans="1:6" ht="6" customHeight="1">
      <c r="A26" s="109"/>
      <c r="B26" s="78"/>
      <c r="C26" s="84"/>
      <c r="D26" s="14"/>
      <c r="E26" s="66" t="s">
        <v>92</v>
      </c>
      <c r="F26" s="66"/>
    </row>
    <row r="27" spans="1:6" ht="6" customHeight="1">
      <c r="A27" s="109"/>
      <c r="B27" s="79"/>
      <c r="C27" s="85"/>
      <c r="D27" s="101"/>
      <c r="E27" s="67" t="s">
        <v>93</v>
      </c>
      <c r="F27" s="68"/>
    </row>
    <row r="28" spans="1:6" ht="15">
      <c r="A28" s="17" t="s">
        <v>8</v>
      </c>
      <c r="B28" s="18">
        <f>B13+B15</f>
        <v>318251.54098799999</v>
      </c>
      <c r="C28" s="86"/>
      <c r="D28" s="12"/>
    </row>
    <row r="29" spans="1:6" ht="30">
      <c r="A29" s="19" t="s">
        <v>9</v>
      </c>
      <c r="B29" s="18">
        <f>B30+B31+B32+B33+B34+B35</f>
        <v>5354.76</v>
      </c>
      <c r="C29" s="86"/>
      <c r="D29" s="63"/>
    </row>
    <row r="30" spans="1:6" ht="15">
      <c r="A30" s="20" t="s">
        <v>10</v>
      </c>
      <c r="B30" s="18">
        <f>34.98*12</f>
        <v>419.76</v>
      </c>
      <c r="C30" s="86" t="s">
        <v>11</v>
      </c>
      <c r="D30" s="14"/>
    </row>
    <row r="31" spans="1:6" ht="15">
      <c r="A31" s="20" t="s">
        <v>12</v>
      </c>
      <c r="B31" s="18">
        <f>137.5*12*0</f>
        <v>0</v>
      </c>
      <c r="C31" s="86" t="s">
        <v>13</v>
      </c>
      <c r="D31" s="14"/>
    </row>
    <row r="32" spans="1:6" ht="20.25" customHeight="1">
      <c r="A32" s="20" t="s">
        <v>14</v>
      </c>
      <c r="B32" s="18">
        <f>123.75*12</f>
        <v>1485</v>
      </c>
      <c r="C32" s="86" t="s">
        <v>15</v>
      </c>
      <c r="D32" s="14"/>
    </row>
    <row r="33" spans="1:4" ht="15" customHeight="1">
      <c r="A33" s="20" t="s">
        <v>103</v>
      </c>
      <c r="B33" s="18">
        <f>123.75*12*0</f>
        <v>0</v>
      </c>
      <c r="C33" s="86" t="s">
        <v>15</v>
      </c>
      <c r="D33" s="14"/>
    </row>
    <row r="34" spans="1:4" ht="15" customHeight="1">
      <c r="A34" s="20" t="s">
        <v>16</v>
      </c>
      <c r="B34" s="18">
        <f>150*12</f>
        <v>1800</v>
      </c>
      <c r="C34" s="86" t="s">
        <v>17</v>
      </c>
      <c r="D34" s="14"/>
    </row>
    <row r="35" spans="1:4" ht="15" customHeight="1">
      <c r="A35" s="20" t="s">
        <v>99</v>
      </c>
      <c r="B35" s="80">
        <f>137.5*12</f>
        <v>1650</v>
      </c>
      <c r="C35" s="86" t="s">
        <v>100</v>
      </c>
      <c r="D35" s="14"/>
    </row>
    <row r="36" spans="1:4" ht="15" customHeight="1">
      <c r="A36" s="19" t="s">
        <v>18</v>
      </c>
      <c r="B36" s="18">
        <v>0</v>
      </c>
      <c r="C36" s="86"/>
      <c r="D36" s="14"/>
    </row>
    <row r="37" spans="1:4" ht="15" customHeight="1">
      <c r="A37" s="21" t="s">
        <v>19</v>
      </c>
      <c r="B37" s="22">
        <f>B28+B29+B36</f>
        <v>323606.300988</v>
      </c>
      <c r="C37" s="86"/>
      <c r="D37" s="14"/>
    </row>
    <row r="38" spans="1:4" ht="39" customHeight="1">
      <c r="A38" s="23" t="s">
        <v>20</v>
      </c>
      <c r="B38" s="24" t="s">
        <v>2</v>
      </c>
      <c r="C38" s="87" t="s">
        <v>21</v>
      </c>
      <c r="D38" s="25"/>
    </row>
    <row r="39" spans="1:4" ht="16.5" customHeight="1">
      <c r="A39" s="26" t="s">
        <v>22</v>
      </c>
      <c r="B39" s="11"/>
      <c r="C39" s="104"/>
      <c r="D39" s="25"/>
    </row>
    <row r="40" spans="1:4" ht="42" customHeight="1">
      <c r="A40" s="27" t="s">
        <v>23</v>
      </c>
      <c r="B40" s="28">
        <f>(F25*((3221+200)*1.15*1.5*1.083*1.302)+0.084*F21)*12</f>
        <v>45146.910738887993</v>
      </c>
      <c r="C40" s="88" t="s">
        <v>116</v>
      </c>
      <c r="D40" s="12" t="s">
        <v>57</v>
      </c>
    </row>
    <row r="41" spans="1:4" ht="22.5" customHeight="1">
      <c r="A41" s="49" t="s">
        <v>59</v>
      </c>
      <c r="B41" s="50">
        <f>0*8618.11*12</f>
        <v>0</v>
      </c>
      <c r="C41" s="89" t="s">
        <v>60</v>
      </c>
      <c r="D41" s="25"/>
    </row>
    <row r="42" spans="1:4" ht="39" customHeight="1">
      <c r="A42" s="49" t="s">
        <v>61</v>
      </c>
      <c r="B42" s="50">
        <f>((0*8618.11)+0*10.20529)*12</f>
        <v>0</v>
      </c>
      <c r="C42" s="89" t="s">
        <v>62</v>
      </c>
      <c r="D42" s="12"/>
    </row>
    <row r="43" spans="1:4" ht="55.5" customHeight="1">
      <c r="A43" s="27" t="s">
        <v>24</v>
      </c>
      <c r="B43" s="44">
        <f>(256.74*0.02*F15*6)+(270.7*0.02*F15*6)</f>
        <v>3924.1535999999996</v>
      </c>
      <c r="C43" s="86" t="s">
        <v>119</v>
      </c>
      <c r="D43" s="12" t="s">
        <v>53</v>
      </c>
    </row>
    <row r="44" spans="1:4" ht="24.75" customHeight="1">
      <c r="A44" s="27" t="s">
        <v>25</v>
      </c>
      <c r="B44" s="29">
        <f>16.86*F14*2</f>
        <v>708.12</v>
      </c>
      <c r="C44" s="105" t="s">
        <v>117</v>
      </c>
      <c r="D44" s="30" t="s">
        <v>54</v>
      </c>
    </row>
    <row r="45" spans="1:4" ht="21.75" customHeight="1">
      <c r="A45" s="27" t="s">
        <v>104</v>
      </c>
      <c r="B45" s="102">
        <f>49.72*F22*4</f>
        <v>0</v>
      </c>
      <c r="C45" s="106" t="s">
        <v>118</v>
      </c>
      <c r="D45" s="30" t="s">
        <v>106</v>
      </c>
    </row>
    <row r="46" spans="1:4" ht="54.75" customHeight="1">
      <c r="A46" s="27" t="s">
        <v>26</v>
      </c>
      <c r="B46" s="51">
        <f>((6*0.24*F17)+(6*0.25*F17))</f>
        <v>920.22</v>
      </c>
      <c r="C46" s="90" t="s">
        <v>112</v>
      </c>
      <c r="D46" s="30" t="s">
        <v>52</v>
      </c>
    </row>
    <row r="47" spans="1:4" ht="45.75" customHeight="1">
      <c r="A47" s="27" t="s">
        <v>27</v>
      </c>
      <c r="B47" s="51">
        <f>(2*2.22*F17)+(2*2.34*F17)</f>
        <v>2854.56</v>
      </c>
      <c r="C47" s="90" t="s">
        <v>113</v>
      </c>
      <c r="D47" s="30" t="s">
        <v>58</v>
      </c>
    </row>
    <row r="48" spans="1:4" ht="37.5" customHeight="1">
      <c r="A48" s="76" t="s">
        <v>96</v>
      </c>
      <c r="B48" s="81">
        <f>((820.25/1.18*6)+(865.34/1.18*6))</f>
        <v>8570.796610169491</v>
      </c>
      <c r="C48" s="91" t="s">
        <v>97</v>
      </c>
      <c r="D48" s="75" t="s">
        <v>98</v>
      </c>
    </row>
    <row r="49" spans="1:5" ht="30.75" customHeight="1">
      <c r="A49" s="53" t="s">
        <v>101</v>
      </c>
      <c r="B49" s="81">
        <f>((617.13/1.18*6)+(651.07/1.18*6))*0</f>
        <v>0</v>
      </c>
      <c r="C49" s="90" t="s">
        <v>102</v>
      </c>
      <c r="D49" s="75" t="s">
        <v>98</v>
      </c>
    </row>
    <row r="50" spans="1:5" ht="73.5" customHeight="1">
      <c r="A50" s="10" t="s">
        <v>28</v>
      </c>
      <c r="B50" s="74">
        <f>(127.11*F15*6*1.65/12)+(144.83*F15*6*1.65/12)</f>
        <v>13909.731</v>
      </c>
      <c r="C50" s="82" t="s">
        <v>110</v>
      </c>
      <c r="D50" s="30" t="s">
        <v>52</v>
      </c>
    </row>
    <row r="51" spans="1:5" ht="35.25" customHeight="1">
      <c r="A51" s="10" t="s">
        <v>29</v>
      </c>
      <c r="B51" s="31">
        <f>0.79*(178.32*6+179.77*6)</f>
        <v>1697.3466000000001</v>
      </c>
      <c r="C51" s="85" t="s">
        <v>124</v>
      </c>
      <c r="D51" s="30" t="s">
        <v>52</v>
      </c>
    </row>
    <row r="52" spans="1:5" ht="16.5" customHeight="1">
      <c r="A52" s="21" t="s">
        <v>30</v>
      </c>
      <c r="B52" s="29">
        <f>SUM(B40:B51)</f>
        <v>77731.838549057487</v>
      </c>
      <c r="C52" s="86"/>
      <c r="D52" s="30"/>
      <c r="E52" s="103"/>
    </row>
    <row r="53" spans="1:5" ht="16.5" customHeight="1">
      <c r="A53" s="27" t="s">
        <v>31</v>
      </c>
      <c r="B53" s="29"/>
      <c r="C53" s="86"/>
      <c r="D53" s="30"/>
    </row>
    <row r="54" spans="1:5" ht="30">
      <c r="A54" s="32" t="s">
        <v>32</v>
      </c>
      <c r="B54" s="52">
        <f>(F24*86.9979+1.53*(B10+B11))*12</f>
        <v>48372.174215999999</v>
      </c>
      <c r="C54" s="92" t="s">
        <v>125</v>
      </c>
      <c r="D54" s="12" t="s">
        <v>53</v>
      </c>
    </row>
    <row r="55" spans="1:5" ht="17.25" customHeight="1">
      <c r="A55" s="27" t="s">
        <v>33</v>
      </c>
      <c r="B55" s="52">
        <f>13.82*F18</f>
        <v>13847.64</v>
      </c>
      <c r="C55" s="92" t="s">
        <v>114</v>
      </c>
      <c r="D55" s="30" t="s">
        <v>55</v>
      </c>
    </row>
    <row r="56" spans="1:5" ht="165">
      <c r="A56" s="43" t="s">
        <v>88</v>
      </c>
      <c r="B56" s="29">
        <f>16.24*(B10+B11)</f>
        <v>36858.303999999996</v>
      </c>
      <c r="C56" s="86" t="s">
        <v>126</v>
      </c>
      <c r="D56" s="12"/>
    </row>
    <row r="57" spans="1:5" ht="90">
      <c r="A57" s="73" t="s">
        <v>34</v>
      </c>
      <c r="B57" s="29">
        <f>(586.14+223.96/3)*F16/1000</f>
        <v>6894.7176399999998</v>
      </c>
      <c r="C57" s="86" t="s">
        <v>111</v>
      </c>
      <c r="D57" s="25" t="s">
        <v>56</v>
      </c>
    </row>
    <row r="58" spans="1:5" ht="30">
      <c r="A58" s="27" t="s">
        <v>35</v>
      </c>
      <c r="B58" s="51">
        <f>(F23*86.9979)+(F23*86.9979/1.302)*0.25</f>
        <v>25407.12864516129</v>
      </c>
      <c r="C58" s="93" t="s">
        <v>115</v>
      </c>
      <c r="D58" s="62"/>
    </row>
    <row r="59" spans="1:5" ht="15" customHeight="1">
      <c r="A59" s="33" t="s">
        <v>36</v>
      </c>
      <c r="B59" s="29">
        <f>B54+B55+B56+B57+B117</f>
        <v>105972.83585600001</v>
      </c>
      <c r="C59" s="86"/>
      <c r="D59" s="62"/>
    </row>
    <row r="60" spans="1:5" ht="17.25" customHeight="1">
      <c r="A60" s="34" t="s">
        <v>37</v>
      </c>
      <c r="B60" s="29"/>
      <c r="C60" s="86"/>
      <c r="D60" s="62"/>
    </row>
    <row r="61" spans="1:5" ht="96.75" customHeight="1">
      <c r="A61" s="69" t="s">
        <v>94</v>
      </c>
      <c r="B61" s="35"/>
      <c r="C61" s="87"/>
      <c r="D61" s="62"/>
    </row>
    <row r="62" spans="1:5" ht="15">
      <c r="A62" s="34" t="s">
        <v>38</v>
      </c>
      <c r="B62" s="15"/>
      <c r="C62" s="94"/>
      <c r="D62" s="25"/>
    </row>
    <row r="63" spans="1:5" ht="15">
      <c r="A63" s="34" t="s">
        <v>39</v>
      </c>
      <c r="B63" s="15"/>
      <c r="C63" s="94"/>
      <c r="D63" s="25"/>
    </row>
    <row r="64" spans="1:5" ht="15">
      <c r="A64" s="34" t="s">
        <v>40</v>
      </c>
      <c r="B64" s="15"/>
      <c r="C64" s="94"/>
      <c r="D64" s="14"/>
    </row>
    <row r="65" spans="1:4" ht="30">
      <c r="A65" s="27" t="s">
        <v>41</v>
      </c>
      <c r="B65" s="15"/>
      <c r="C65" s="94"/>
      <c r="D65" s="14"/>
    </row>
    <row r="66" spans="1:4" ht="15">
      <c r="A66" s="33" t="s">
        <v>42</v>
      </c>
      <c r="B66" s="15">
        <f>B61+B63</f>
        <v>0</v>
      </c>
      <c r="C66" s="94"/>
      <c r="D66" s="14"/>
    </row>
    <row r="67" spans="1:4" ht="15" customHeight="1">
      <c r="A67" s="34" t="s">
        <v>43</v>
      </c>
      <c r="B67" s="15">
        <f>2.679*(B10+B11)</f>
        <v>6080.2583999999997</v>
      </c>
      <c r="C67" s="94" t="s">
        <v>127</v>
      </c>
      <c r="D67" s="30" t="s">
        <v>52</v>
      </c>
    </row>
    <row r="68" spans="1:4" ht="30" customHeight="1">
      <c r="A68" s="36" t="s">
        <v>44</v>
      </c>
      <c r="B68" s="37">
        <f>1.29*(B10+B11)</f>
        <v>2927.7840000000001</v>
      </c>
      <c r="C68" s="107" t="s">
        <v>128</v>
      </c>
      <c r="D68" s="14"/>
    </row>
    <row r="69" spans="1:4" ht="33.75" customHeight="1">
      <c r="A69" s="53" t="s">
        <v>63</v>
      </c>
      <c r="B69" s="54">
        <f>(B52+B59)*0.212</f>
        <v>38945.390973872192</v>
      </c>
      <c r="C69" s="95" t="s">
        <v>64</v>
      </c>
      <c r="D69" s="55"/>
    </row>
    <row r="70" spans="1:4" ht="45">
      <c r="A70" s="56" t="s">
        <v>65</v>
      </c>
      <c r="B70" s="57">
        <f>(B52+B59+B66+B69)*1.03/(1-0.134*1.03)*0.134</f>
        <v>35650.667096220197</v>
      </c>
      <c r="C70" s="96" t="s">
        <v>66</v>
      </c>
      <c r="D70" s="58" t="s">
        <v>67</v>
      </c>
    </row>
    <row r="71" spans="1:4" ht="15">
      <c r="A71" s="33" t="s">
        <v>89</v>
      </c>
      <c r="B71" s="15">
        <f>B67+B68+B69+B70</f>
        <v>83604.10047009238</v>
      </c>
      <c r="C71" s="94"/>
      <c r="D71" s="14"/>
    </row>
    <row r="72" spans="1:4" ht="15">
      <c r="A72" s="27" t="s">
        <v>45</v>
      </c>
      <c r="B72" s="15">
        <f>(B52+B59+B66+B71)*3%</f>
        <v>8019.2632462544962</v>
      </c>
      <c r="C72" s="94"/>
      <c r="D72" s="12"/>
    </row>
    <row r="73" spans="1:4" ht="15">
      <c r="A73" s="33" t="s">
        <v>19</v>
      </c>
      <c r="B73" s="38">
        <f>B52+B59+B66+B71+B72</f>
        <v>275328.03812140436</v>
      </c>
      <c r="C73" s="97"/>
      <c r="D73" s="12"/>
    </row>
    <row r="74" spans="1:4" ht="18.75" customHeight="1">
      <c r="A74" s="45" t="s">
        <v>74</v>
      </c>
      <c r="B74" s="46">
        <f>B73*1.18</f>
        <v>324887.08498325711</v>
      </c>
      <c r="C74" s="98"/>
      <c r="D74" s="12"/>
    </row>
    <row r="75" spans="1:4" ht="14.25" customHeight="1">
      <c r="A75" s="34"/>
      <c r="B75" s="39">
        <f>B37-B74</f>
        <v>-1280.7839952571085</v>
      </c>
      <c r="C75" s="99"/>
      <c r="D75" s="63"/>
    </row>
    <row r="76" spans="1:4" ht="46.5" customHeight="1">
      <c r="A76" s="59" t="s">
        <v>68</v>
      </c>
      <c r="B76" s="60">
        <f>B74/(B10+B11)/12</f>
        <v>11.928940671750423</v>
      </c>
      <c r="C76" s="100" t="s">
        <v>69</v>
      </c>
      <c r="D76" s="55"/>
    </row>
    <row r="77" spans="1:4" ht="40.9" customHeight="1">
      <c r="A77" s="40"/>
      <c r="B77" s="41"/>
      <c r="C77" s="42"/>
      <c r="D77" s="41"/>
    </row>
    <row r="78" spans="1:4" ht="40.9" customHeight="1">
      <c r="A78" s="41"/>
      <c r="B78" s="41"/>
      <c r="C78" s="41"/>
      <c r="D78" s="41"/>
    </row>
    <row r="79" spans="1:4" ht="40.9" customHeight="1">
      <c r="A79" s="41"/>
      <c r="B79" s="41"/>
      <c r="C79" s="41"/>
      <c r="D79" s="41"/>
    </row>
    <row r="80" spans="1:4" ht="40.9" customHeight="1">
      <c r="A80" s="110" t="s">
        <v>70</v>
      </c>
      <c r="B80" s="110"/>
      <c r="C80" s="110"/>
    </row>
    <row r="81" spans="1:3" ht="40.9" customHeight="1">
      <c r="A81" s="111" t="s">
        <v>71</v>
      </c>
      <c r="B81" s="111"/>
      <c r="C81" s="111"/>
    </row>
    <row r="82" spans="1:3" ht="40.9" customHeight="1">
      <c r="A82" s="112" t="s">
        <v>72</v>
      </c>
      <c r="B82" s="112"/>
      <c r="C82" s="112"/>
    </row>
    <row r="83" spans="1:3" ht="40.9" customHeight="1">
      <c r="A83" s="47"/>
      <c r="B83" s="48"/>
      <c r="C83" s="1"/>
    </row>
    <row r="84" spans="1:3" ht="40.9" customHeight="1">
      <c r="A84" s="47"/>
      <c r="B84" s="48"/>
      <c r="C84" s="1"/>
    </row>
    <row r="85" spans="1:3" ht="40.9" customHeight="1">
      <c r="A85" s="70"/>
      <c r="B85" s="71"/>
      <c r="C85" s="72"/>
    </row>
    <row r="86" spans="1:3" ht="40.9" customHeight="1">
      <c r="A86" s="70" t="s">
        <v>46</v>
      </c>
      <c r="B86" s="71"/>
      <c r="C86" s="72" t="s">
        <v>73</v>
      </c>
    </row>
  </sheetData>
  <mergeCells count="5">
    <mergeCell ref="A80:C80"/>
    <mergeCell ref="A81:C81"/>
    <mergeCell ref="A82:C82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Кольцевая 32,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2015-05-12T03:05:53Z</dcterms:modified>
</cp:coreProperties>
</file>