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15" windowWidth="27555" windowHeight="12045"/>
  </bookViews>
  <sheets>
    <sheet name="Комарова, 14" sheetId="1" r:id="rId1"/>
  </sheets>
  <calcPr calcId="145621"/>
</workbook>
</file>

<file path=xl/calcChain.xml><?xml version="1.0" encoding="utf-8"?>
<calcChain xmlns="http://schemas.openxmlformats.org/spreadsheetml/2006/main">
  <c r="C14" i="1" l="1"/>
  <c r="C15" i="1"/>
  <c r="C17" i="1"/>
  <c r="C16" i="1" s="1"/>
  <c r="C20" i="1" s="1"/>
  <c r="C28" i="1" s="1"/>
  <c r="C18" i="1"/>
  <c r="C19" i="1"/>
  <c r="C22" i="1"/>
  <c r="C23" i="1"/>
  <c r="C24" i="1"/>
  <c r="C25" i="1"/>
  <c r="C21" i="1" s="1"/>
  <c r="C26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6" i="1"/>
  <c r="C47" i="1"/>
  <c r="C50" i="1"/>
  <c r="C53" i="1" s="1"/>
  <c r="C52" i="1"/>
  <c r="C61" i="1"/>
  <c r="C62" i="1"/>
  <c r="C64" i="1"/>
  <c r="C63" i="1" l="1"/>
  <c r="C65" i="1"/>
  <c r="C66" i="1" l="1"/>
  <c r="C68" i="1" l="1"/>
  <c r="C69" i="1" s="1"/>
  <c r="C70" i="1" s="1"/>
  <c r="C67" i="1"/>
</calcChain>
</file>

<file path=xl/sharedStrings.xml><?xml version="1.0" encoding="utf-8"?>
<sst xmlns="http://schemas.openxmlformats.org/spreadsheetml/2006/main" count="107" uniqueCount="104">
  <si>
    <t>А. М. Андреев</t>
  </si>
  <si>
    <t xml:space="preserve">Начальник ПЭО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</si>
  <si>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</si>
  <si>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</si>
  <si>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>.-299397,88</t>
  </si>
  <si>
    <t>Остаток средств на 07.2013г.</t>
  </si>
  <si>
    <t>Итого стоимость услуг с НДС:</t>
  </si>
  <si>
    <t>Итого:</t>
  </si>
  <si>
    <t>Рентабельность, 3%</t>
  </si>
  <si>
    <t>Всего по п.4-8:</t>
  </si>
  <si>
    <t>(Прямые расходы+общеэкспуатационные расходы)*0,159**</t>
  </si>
  <si>
    <t xml:space="preserve">8.Управление домом </t>
  </si>
  <si>
    <t>0,98 руб./кв.м.*3586,3кв.м.</t>
  </si>
  <si>
    <t>7. Услуги по начислению и сбору платежей</t>
  </si>
  <si>
    <t>Прямые расходы*0,166*</t>
  </si>
  <si>
    <t>6. Общеэксплуатационные расходы</t>
  </si>
  <si>
    <t>1,28руб./кв.м*(3586,3кв.м.+7,5кв.м.)</t>
  </si>
  <si>
    <t>5.ОДС</t>
  </si>
  <si>
    <t>2,096 руб./кв.м.*(3586,3кв.м.+7,5 кв.м.)</t>
  </si>
  <si>
    <t>4.Аварийно-ремонтная службы</t>
  </si>
  <si>
    <t>Всего по п.3:</t>
  </si>
  <si>
    <t>-резерв и непредвиденные затраты</t>
  </si>
  <si>
    <t>-замена входных дверей</t>
  </si>
  <si>
    <t xml:space="preserve">-замена эл.проводки </t>
  </si>
  <si>
    <t>-наращивание свесов кровли</t>
  </si>
  <si>
    <t>.-рециркуляционная линия ГВС</t>
  </si>
  <si>
    <t>3.Текущий ремонт</t>
  </si>
  <si>
    <t>Всего по п.2:</t>
  </si>
  <si>
    <t>(426,51ч/час*82,67руб./час)+(426,51ч/час*82,67руб./час/1,302)*25%</t>
  </si>
  <si>
    <t>-резерв на непредвиденные работы</t>
  </si>
  <si>
    <t>-покраска металлических ограждений</t>
  </si>
  <si>
    <t>(560,69руб./куб.м.+(208,49/3)руб./куб.м.)*19731/1000</t>
  </si>
  <si>
    <t>.-гидравлические испытания и промывка системы отопления</t>
  </si>
  <si>
    <t>.-смена вентелей, задвижек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</si>
  <si>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</si>
  <si>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14,86руб./кв.м.*510кв.м.</t>
  </si>
  <si>
    <t>-очистка кровли от снега</t>
  </si>
  <si>
    <t>6,04ч/час*82,67руб./час.+0,518руб./м.кв.*(3586,3кв.м.+7,5кв.м.)*12мес.</t>
  </si>
  <si>
    <t>.-профосмотры:в т.ч.сезонные осмотры</t>
  </si>
  <si>
    <t>2.Техническая эксплуатация</t>
  </si>
  <si>
    <t>Всего по п.1:</t>
  </si>
  <si>
    <t>3462,42руб/мес.*12/1,18</t>
  </si>
  <si>
    <t>.-обслуживание АППЗ и ДУ</t>
  </si>
  <si>
    <t>618,42 руб./мес.*12 мес.</t>
  </si>
  <si>
    <t>.-т/о приборов учета тепловой энергии</t>
  </si>
  <si>
    <t>0,07куб.м.*176,76руб.*12мес.</t>
  </si>
  <si>
    <t>.-вывоз мусора (арендаторы)</t>
  </si>
  <si>
    <t>(113,78руб./чел.в мес.*172чел.*6мес.*1,65/12)+(127,20 руб./чел.в мес.*172чел.*6мес.*1,65/12)</t>
  </si>
  <si>
    <t>.-вывоз мусора (население)САХ</t>
  </si>
  <si>
    <t>13973руб.</t>
  </si>
  <si>
    <t>.-обследование лифтов, отработавших 25 лет, освидетельствование лифтов</t>
  </si>
  <si>
    <t>(5517,98руб./лифт+7173,37/руб./лифт)*12</t>
  </si>
  <si>
    <t>.-комплексное обслуживание лифтов</t>
  </si>
  <si>
    <t>(2 раза в год*0,62руб./мес.*455,5кв.м.)+(2раза в год*0,65руб./мес.*455,5кв.м.)</t>
  </si>
  <si>
    <t>.-дезинсекция</t>
  </si>
  <si>
    <t>(6раз в год*0,21 руб./мес.*455,5кв.м.)+(6раз в год*0,22руб.в мес.*455,5кв.м.)</t>
  </si>
  <si>
    <t>.-дератизация</t>
  </si>
  <si>
    <t>(16,21руб.*68вентк.)+(17,07руб.*68вентк.)</t>
  </si>
  <si>
    <t>-очистка вентканалов</t>
  </si>
  <si>
    <t>(266,83руб./куб.м.*0,02куб.м.*172 чел.)*12</t>
  </si>
  <si>
    <t>.- вывоз КГМ</t>
  </si>
  <si>
    <t>((0,48чел.*8184,66 руб/чел.)+68квартир*8,74724руб/кв)*12</t>
  </si>
  <si>
    <t>.-обслуживание мусоропровода</t>
  </si>
  <si>
    <t>0чел*8184,66 руб./чел*12 мес.</t>
  </si>
  <si>
    <t>.-уборка лестничных клеток</t>
  </si>
  <si>
    <t>(1,46чел.*((3059+200)*1,15*1,5*1,083*1,302)+0,053руб./кв.м.асф.покр.*2365,9кв.м.)*12 мес.</t>
  </si>
  <si>
    <t>-уборка придомовой территории</t>
  </si>
  <si>
    <t>1.Санитарное содержание</t>
  </si>
  <si>
    <t>Обоснование</t>
  </si>
  <si>
    <t>Сумма, руб.</t>
  </si>
  <si>
    <t>Статьи расходов. Перечень работ, услуг</t>
  </si>
  <si>
    <t xml:space="preserve"> </t>
  </si>
  <si>
    <t>4.Начисление за рекламу(аренда)</t>
  </si>
  <si>
    <t>150,00руб.*12мес.</t>
  </si>
  <si>
    <t>"Башинформсвязь"</t>
  </si>
  <si>
    <t>"ЭРТелеком"</t>
  </si>
  <si>
    <t>123,75руб.*12мес.</t>
  </si>
  <si>
    <t>"Уфанет"</t>
  </si>
  <si>
    <t>137,50руб.*12мес.</t>
  </si>
  <si>
    <t>"Вымпелком"</t>
  </si>
  <si>
    <t>34,98 руб.*12мес.</t>
  </si>
  <si>
    <t>"Кристалл"</t>
  </si>
  <si>
    <t>3.Начисление арендаторам за установку кабелей ТВ</t>
  </si>
  <si>
    <t>Всего:</t>
  </si>
  <si>
    <t>0,07куб.м.*176,76руб.*1,18*12мес.</t>
  </si>
  <si>
    <t>Вывоз мусора</t>
  </si>
  <si>
    <t>7,5кв.м.*10,85руб.*12мес.</t>
  </si>
  <si>
    <t>Тех.обслуживание</t>
  </si>
  <si>
    <t>1. ООО"УфаЛифт"</t>
  </si>
  <si>
    <t>2. Начисление по нежилым помещениям</t>
  </si>
  <si>
    <t>((113,78руб./чел.в мес.*172чел.*6мес.*1,65/12)+(127,20 руб./чел.в мес.*172чел.*6мес.*1,65/12))*1,18</t>
  </si>
  <si>
    <t>в т. ч. вывоз мусора (население)</t>
  </si>
  <si>
    <t>3586,3кв.м.*17,47 руб.*12 мес.</t>
  </si>
  <si>
    <t>1.Начисление населению</t>
  </si>
  <si>
    <t>Обоснование:расчет платы на 1 кв.м.площади,ТБО на 1 чел.</t>
  </si>
  <si>
    <t>Статьи доходов</t>
  </si>
  <si>
    <t>ЖЭУ-69   (с НДС)</t>
  </si>
  <si>
    <t>Общая площадь, кв. м.</t>
  </si>
  <si>
    <t>Смета доходов  и расходов на содержание и текущий ремонт общедомового имущества дома № 14,  ул. Комарова на 2014г.</t>
  </si>
  <si>
    <t>План работ, согласно Постановлению 
Правительства РФ №731 от 23 сентября 2010г. п.11 пп.б.</t>
  </si>
  <si>
    <t>____________________Р.А. Янышев</t>
  </si>
  <si>
    <t xml:space="preserve"> Орджоникидзевского района"</t>
  </si>
  <si>
    <t>И. о. директора ОАО" УЖХ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</si>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</sst>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\-??_р_._-;_-@_-"/>
    <numFmt numFmtId="165" formatCode="0.000"/>
    <numFmt numFmtId="166" formatCode="_-* #,##0_р_._-;\-* #,##0_р_._-;_-* \-_р_._-;_-@_-"/>
  </numFmts>
  <fonts count="25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0"/>
      <name val="Arial Cyr"/>
      <family val="2"/>
      <charset val="204"/>
    </font>
    <font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4"/>
      <name val="Arial Cyr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"/>
    </font>
    <font>
      <sz val="10"/>
      <color indexed="8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20">
    <xf numFmtId="0" fontId="0" fillId="0" borderId="0"/>
    <xf numFmtId="164" fontId="1" fillId="0" borderId="0" applyFill="0" applyBorder="0" applyAlignment="0" applyProtection="0"/>
    <xf numFmtId="0" fontId="20" fillId="0" borderId="0"/>
    <xf numFmtId="0" fontId="20" fillId="0" borderId="0"/>
    <xf numFmtId="0" fontId="1" fillId="0" borderId="0"/>
    <xf numFmtId="0" fontId="20" fillId="0" borderId="0"/>
    <xf numFmtId="0" fontId="21" fillId="0" borderId="0"/>
    <xf numFmtId="0" fontId="22" fillId="0" borderId="0"/>
    <xf numFmtId="0" fontId="1" fillId="0" borderId="0"/>
    <xf numFmtId="9" fontId="2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4" fillId="0" borderId="0" applyFont="0" applyFill="0" applyBorder="0" applyAlignment="0" applyProtection="0"/>
    <xf numFmtId="41" fontId="20" fillId="0" borderId="0" applyFont="0" applyFill="0" applyBorder="0" applyAlignment="0" applyProtection="0"/>
    <xf numFmtId="166" fontId="1" fillId="0" borderId="0" applyFill="0" applyBorder="0" applyAlignment="0" applyProtection="0"/>
    <xf numFmtId="166" fontId="1" fillId="0" borderId="0" applyFill="0" applyBorder="0" applyAlignment="0" applyProtection="0"/>
    <xf numFmtId="41" fontId="2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2" fillId="3" borderId="0" xfId="0" applyFont="1" applyFill="1"/>
    <xf numFmtId="0" fontId="3" fillId="3" borderId="0" xfId="0" applyFont="1" applyFill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4" fillId="3" borderId="0" xfId="0" applyFont="1" applyFill="1"/>
    <xf numFmtId="164" fontId="0" fillId="3" borderId="0" xfId="0" applyNumberFormat="1" applyFill="1" applyAlignment="1">
      <alignment horizontal="right"/>
    </xf>
    <xf numFmtId="164" fontId="0" fillId="3" borderId="0" xfId="0" applyNumberFormat="1" applyFill="1"/>
    <xf numFmtId="0" fontId="0" fillId="4" borderId="0" xfId="0" applyFill="1"/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164" fontId="6" fillId="3" borderId="1" xfId="1" applyFont="1" applyFill="1" applyBorder="1" applyAlignment="1" applyProtection="1">
      <alignment horizontal="center" vertical="center" wrapText="1"/>
    </xf>
    <xf numFmtId="4" fontId="6" fillId="3" borderId="1" xfId="1" applyNumberFormat="1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0" fillId="0" borderId="0" xfId="0" applyFont="1"/>
    <xf numFmtId="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horizontal="center" vertical="center" wrapText="1"/>
    </xf>
    <xf numFmtId="165" fontId="6" fillId="3" borderId="0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5" fillId="3" borderId="1" xfId="0" applyFont="1" applyFill="1" applyBorder="1"/>
    <xf numFmtId="0" fontId="7" fillId="3" borderId="1" xfId="0" applyFont="1" applyFill="1" applyBorder="1"/>
    <xf numFmtId="0" fontId="8" fillId="0" borderId="0" xfId="0" applyFont="1"/>
    <xf numFmtId="2" fontId="9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/>
    <xf numFmtId="2" fontId="10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/>
    </xf>
    <xf numFmtId="2" fontId="11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4" fontId="10" fillId="5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wrapText="1"/>
    </xf>
    <xf numFmtId="0" fontId="7" fillId="3" borderId="3" xfId="0" applyFont="1" applyFill="1" applyBorder="1" applyAlignment="1">
      <alignment wrapText="1"/>
    </xf>
    <xf numFmtId="4" fontId="10" fillId="5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horizontal="left" wrapText="1"/>
    </xf>
    <xf numFmtId="0" fontId="7" fillId="3" borderId="2" xfId="0" applyFont="1" applyFill="1" applyBorder="1" applyAlignment="1">
      <alignment wrapText="1"/>
    </xf>
    <xf numFmtId="0" fontId="12" fillId="0" borderId="0" xfId="0" applyFont="1"/>
    <xf numFmtId="0" fontId="13" fillId="3" borderId="1" xfId="0" applyFont="1" applyFill="1" applyBorder="1" applyAlignment="1">
      <alignment wrapText="1"/>
    </xf>
    <xf numFmtId="2" fontId="11" fillId="3" borderId="3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 wrapText="1"/>
    </xf>
    <xf numFmtId="4" fontId="10" fillId="3" borderId="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wrapText="1"/>
    </xf>
    <xf numFmtId="4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4" fontId="16" fillId="3" borderId="2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center"/>
    </xf>
    <xf numFmtId="0" fontId="16" fillId="3" borderId="1" xfId="0" applyFont="1" applyFill="1" applyBorder="1" applyAlignment="1">
      <alignment wrapText="1"/>
    </xf>
    <xf numFmtId="4" fontId="10" fillId="3" borderId="1" xfId="0" applyNumberFormat="1" applyFont="1" applyFill="1" applyBorder="1" applyAlignment="1">
      <alignment horizontal="center"/>
    </xf>
    <xf numFmtId="0" fontId="17" fillId="3" borderId="1" xfId="0" applyFont="1" applyFill="1" applyBorder="1" applyAlignment="1">
      <alignment horizontal="left" vertical="center" wrapText="1"/>
    </xf>
    <xf numFmtId="0" fontId="0" fillId="0" borderId="0" xfId="0" applyFont="1" applyBorder="1"/>
    <xf numFmtId="4" fontId="7" fillId="3" borderId="4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4" fontId="7" fillId="3" borderId="9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/>
    </xf>
    <xf numFmtId="0" fontId="17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8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 wrapText="1"/>
    </xf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 wrapText="1"/>
    </xf>
    <xf numFmtId="0" fontId="6" fillId="3" borderId="0" xfId="0" applyFont="1" applyFill="1"/>
  </cellXfs>
  <cellStyles count="20">
    <cellStyle name="Обычный" xfId="0" builtinId="0"/>
    <cellStyle name="Обычный 2" xfId="2"/>
    <cellStyle name="Обычный 2 2" xfId="3"/>
    <cellStyle name="Обычный 2 3" xfId="4"/>
    <cellStyle name="Обычный 2 3 2" xfId="5"/>
    <cellStyle name="Обычный 3" xfId="6"/>
    <cellStyle name="Обычный 4" xfId="7"/>
    <cellStyle name="Обычный 5 2" xfId="8"/>
    <cellStyle name="Процентный 2" xfId="9"/>
    <cellStyle name="Процентный 2 2" xfId="10"/>
    <cellStyle name="Процентный 3" xfId="11"/>
    <cellStyle name="Процентный 4" xfId="12"/>
    <cellStyle name="Финансовый" xfId="1" builtinId="3"/>
    <cellStyle name="Финансовый [0] 2" xfId="13"/>
    <cellStyle name="Финансовый [0] 2 2" xfId="14"/>
    <cellStyle name="Финансовый [0] 3" xfId="15"/>
    <cellStyle name="Финансовый [0] 4" xfId="16"/>
    <cellStyle name="Финансовый 2" xfId="17"/>
    <cellStyle name="Финансовый 2 2" xfId="18"/>
    <cellStyle name="Финансовый 2 3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H96"/>
  <sheetViews>
    <sheetView tabSelected="1" topLeftCell="A4" zoomScaleNormal="100" workbookViewId="0">
      <selection activeCell="C12" sqref="C12"/>
    </sheetView>
  </sheetViews>
  <sheetFormatPr defaultRowHeight="12.75" x14ac:dyDescent="0.2"/>
  <cols>
    <col min="1" max="1" width="4.28515625" customWidth="1"/>
    <col min="2" max="2" width="40.140625" customWidth="1"/>
    <col min="3" max="3" width="17.5703125" style="1" customWidth="1"/>
    <col min="4" max="4" width="41.5703125" style="1" customWidth="1"/>
    <col min="5" max="5" width="10.42578125" customWidth="1"/>
    <col min="8" max="8" width="42.140625" customWidth="1"/>
  </cols>
  <sheetData>
    <row r="1" spans="2:4" x14ac:dyDescent="0.2">
      <c r="B1" s="3"/>
      <c r="C1" s="3"/>
      <c r="D1" s="3"/>
    </row>
    <row r="2" spans="2:4" ht="15.75" x14ac:dyDescent="0.25">
      <c r="B2" s="3"/>
      <c r="C2"/>
      <c r="D2" s="89" t="s">
        <v>103</v>
      </c>
    </row>
    <row r="3" spans="2:4" ht="15.75" x14ac:dyDescent="0.25">
      <c r="B3" s="3"/>
      <c r="C3" s="3"/>
      <c r="D3" s="89" t="s">
        <v>102</v>
      </c>
    </row>
    <row r="4" spans="2:4" ht="15.75" x14ac:dyDescent="0.25">
      <c r="B4" s="3"/>
      <c r="C4" s="3"/>
      <c r="D4" s="89" t="s">
        <v>101</v>
      </c>
    </row>
    <row r="5" spans="2:4" ht="15.75" x14ac:dyDescent="0.25">
      <c r="B5" s="3"/>
      <c r="C5" s="3"/>
      <c r="D5" s="89"/>
    </row>
    <row r="6" spans="2:4" ht="15.75" x14ac:dyDescent="0.25">
      <c r="B6" s="3"/>
      <c r="C6" s="3"/>
      <c r="D6" s="89" t="s">
        <v>100</v>
      </c>
    </row>
    <row r="7" spans="2:4" ht="15.75" x14ac:dyDescent="0.25">
      <c r="B7" s="3"/>
      <c r="C7" s="3"/>
      <c r="D7" s="89"/>
    </row>
    <row r="8" spans="2:4" ht="57.75" customHeight="1" x14ac:dyDescent="0.25">
      <c r="B8" s="88" t="s">
        <v>99</v>
      </c>
      <c r="C8" s="87"/>
      <c r="D8" s="87"/>
    </row>
    <row r="9" spans="2:4" ht="33" customHeight="1" x14ac:dyDescent="0.2">
      <c r="B9" s="86" t="s">
        <v>98</v>
      </c>
      <c r="C9" s="86"/>
      <c r="D9" s="86"/>
    </row>
    <row r="10" spans="2:4" x14ac:dyDescent="0.2">
      <c r="B10" s="86"/>
      <c r="C10" s="86"/>
      <c r="D10" s="86"/>
    </row>
    <row r="11" spans="2:4" ht="15" x14ac:dyDescent="0.2">
      <c r="B11" s="85"/>
      <c r="C11" s="85"/>
      <c r="D11" s="85"/>
    </row>
    <row r="12" spans="2:4" ht="15" x14ac:dyDescent="0.2">
      <c r="B12" s="84" t="s">
        <v>97</v>
      </c>
      <c r="C12" s="84">
        <v>3586.3</v>
      </c>
      <c r="D12" s="84" t="s">
        <v>96</v>
      </c>
    </row>
    <row r="13" spans="2:4" ht="51.6" customHeight="1" x14ac:dyDescent="0.2">
      <c r="B13" s="83" t="s">
        <v>95</v>
      </c>
      <c r="C13" s="82" t="s">
        <v>69</v>
      </c>
      <c r="D13" s="81" t="s">
        <v>94</v>
      </c>
    </row>
    <row r="14" spans="2:4" ht="45.75" customHeight="1" x14ac:dyDescent="0.2">
      <c r="B14" s="80" t="s">
        <v>93</v>
      </c>
      <c r="C14" s="79">
        <f>3586.3*17.47*12</f>
        <v>751831.93200000003</v>
      </c>
      <c r="D14" s="53" t="s">
        <v>92</v>
      </c>
    </row>
    <row r="15" spans="2:4" ht="40.5" customHeight="1" x14ac:dyDescent="0.2">
      <c r="B15" s="52" t="s">
        <v>91</v>
      </c>
      <c r="C15" s="66">
        <f>(113.78*1.65/12*172*6)+(127.2*1.65/12*172*6)*1.18</f>
        <v>37444.004399999998</v>
      </c>
      <c r="D15" s="56" t="s">
        <v>90</v>
      </c>
    </row>
    <row r="16" spans="2:4" ht="20.25" customHeight="1" x14ac:dyDescent="0.2">
      <c r="B16" s="61" t="s">
        <v>89</v>
      </c>
      <c r="C16" s="66">
        <f>C17</f>
        <v>1151.704512</v>
      </c>
      <c r="D16" s="56"/>
    </row>
    <row r="17" spans="2:8" ht="20.25" customHeight="1" x14ac:dyDescent="0.2">
      <c r="B17" s="61" t="s">
        <v>88</v>
      </c>
      <c r="C17" s="78">
        <f>C18+C19</f>
        <v>1151.704512</v>
      </c>
      <c r="D17" s="77"/>
    </row>
    <row r="18" spans="2:8" ht="19.149999999999999" customHeight="1" x14ac:dyDescent="0.2">
      <c r="B18" s="61" t="s">
        <v>87</v>
      </c>
      <c r="C18" s="78">
        <f>7.5*10.85*12</f>
        <v>976.5</v>
      </c>
      <c r="D18" s="77" t="s">
        <v>86</v>
      </c>
    </row>
    <row r="19" spans="2:8" ht="19.149999999999999" customHeight="1" x14ac:dyDescent="0.2">
      <c r="B19" s="61" t="s">
        <v>85</v>
      </c>
      <c r="C19" s="76">
        <f>0.07*176.76*12*1.18</f>
        <v>175.20451200000002</v>
      </c>
      <c r="D19" s="56" t="s">
        <v>84</v>
      </c>
    </row>
    <row r="20" spans="2:8" ht="39.75" customHeight="1" x14ac:dyDescent="0.25">
      <c r="B20" s="48" t="s">
        <v>83</v>
      </c>
      <c r="C20" s="73">
        <f>C14+C16</f>
        <v>752983.636512</v>
      </c>
      <c r="D20" s="34"/>
      <c r="E20" s="75"/>
      <c r="F20" s="17"/>
      <c r="G20" s="17"/>
      <c r="H20" s="17"/>
    </row>
    <row r="21" spans="2:8" ht="39.75" customHeight="1" x14ac:dyDescent="0.2">
      <c r="B21" s="74" t="s">
        <v>82</v>
      </c>
      <c r="C21" s="73">
        <f>C22+C23+C24+C25+C26</f>
        <v>7154.76</v>
      </c>
      <c r="D21" s="34"/>
    </row>
    <row r="22" spans="2:8" ht="21.75" customHeight="1" x14ac:dyDescent="0.2">
      <c r="B22" s="20" t="s">
        <v>81</v>
      </c>
      <c r="C22" s="73">
        <f>34.98*12</f>
        <v>419.76</v>
      </c>
      <c r="D22" s="34" t="s">
        <v>80</v>
      </c>
    </row>
    <row r="23" spans="2:8" ht="21.75" customHeight="1" x14ac:dyDescent="0.2">
      <c r="B23" s="20" t="s">
        <v>79</v>
      </c>
      <c r="C23" s="73">
        <f>137.5*12</f>
        <v>1650</v>
      </c>
      <c r="D23" s="34" t="s">
        <v>78</v>
      </c>
    </row>
    <row r="24" spans="2:8" ht="21.75" customHeight="1" x14ac:dyDescent="0.2">
      <c r="B24" s="20" t="s">
        <v>77</v>
      </c>
      <c r="C24" s="73">
        <f>123.75*12</f>
        <v>1485</v>
      </c>
      <c r="D24" s="34" t="s">
        <v>76</v>
      </c>
    </row>
    <row r="25" spans="2:8" ht="21.75" customHeight="1" x14ac:dyDescent="0.2">
      <c r="B25" s="20" t="s">
        <v>75</v>
      </c>
      <c r="C25" s="73">
        <f>150*12</f>
        <v>1800</v>
      </c>
      <c r="D25" s="34" t="s">
        <v>73</v>
      </c>
    </row>
    <row r="26" spans="2:8" ht="21.75" customHeight="1" x14ac:dyDescent="0.2">
      <c r="B26" s="20" t="s">
        <v>74</v>
      </c>
      <c r="C26" s="73">
        <f>150*12</f>
        <v>1800</v>
      </c>
      <c r="D26" s="34" t="s">
        <v>73</v>
      </c>
    </row>
    <row r="27" spans="2:8" ht="33" customHeight="1" x14ac:dyDescent="0.2">
      <c r="B27" s="74" t="s">
        <v>72</v>
      </c>
      <c r="C27" s="73">
        <v>0</v>
      </c>
      <c r="D27" s="34"/>
      <c r="G27" t="s">
        <v>71</v>
      </c>
    </row>
    <row r="28" spans="2:8" ht="39.75" customHeight="1" x14ac:dyDescent="0.3">
      <c r="B28" s="72" t="s">
        <v>7</v>
      </c>
      <c r="C28" s="71">
        <f>C20+C21+C27</f>
        <v>760138.39651200001</v>
      </c>
      <c r="D28" s="34"/>
    </row>
    <row r="29" spans="2:8" ht="39.75" customHeight="1" x14ac:dyDescent="0.25">
      <c r="B29" s="70" t="s">
        <v>70</v>
      </c>
      <c r="C29" s="69" t="s">
        <v>69</v>
      </c>
      <c r="D29" s="68" t="s">
        <v>68</v>
      </c>
    </row>
    <row r="30" spans="2:8" ht="39.75" customHeight="1" x14ac:dyDescent="0.25">
      <c r="B30" s="67" t="s">
        <v>67</v>
      </c>
      <c r="C30" s="66"/>
      <c r="D30" s="29"/>
      <c r="H30" s="65"/>
    </row>
    <row r="31" spans="2:8" ht="51" customHeight="1" x14ac:dyDescent="0.25">
      <c r="B31" s="61" t="s">
        <v>66</v>
      </c>
      <c r="C31" s="64">
        <f>(1.46*((3059+200)*1.15*1.5*1.083*1.302)+0.053*2365.9)*12</f>
        <v>140387.04515086798</v>
      </c>
      <c r="D31" s="63" t="s">
        <v>65</v>
      </c>
      <c r="H31" s="49"/>
    </row>
    <row r="32" spans="2:8" ht="51" customHeight="1" x14ac:dyDescent="0.25">
      <c r="B32" s="61" t="s">
        <v>64</v>
      </c>
      <c r="C32" s="64">
        <f>0*8184.66*12</f>
        <v>0</v>
      </c>
      <c r="D32" s="63" t="s">
        <v>63</v>
      </c>
      <c r="H32" s="49"/>
    </row>
    <row r="33" spans="2:8" ht="51" customHeight="1" x14ac:dyDescent="0.25">
      <c r="B33" s="61" t="s">
        <v>62</v>
      </c>
      <c r="C33" s="64">
        <f>((0.48*8184.66)+68*8.74724)*12</f>
        <v>54281.389439999992</v>
      </c>
      <c r="D33" s="63" t="s">
        <v>61</v>
      </c>
      <c r="H33" s="49"/>
    </row>
    <row r="34" spans="2:8" s="30" customFormat="1" ht="42" customHeight="1" x14ac:dyDescent="0.25">
      <c r="B34" s="61" t="s">
        <v>60</v>
      </c>
      <c r="C34" s="35">
        <f>266.83*0.02*172*12</f>
        <v>11014.742399999999</v>
      </c>
      <c r="D34" s="34" t="s">
        <v>59</v>
      </c>
      <c r="H34" s="49"/>
    </row>
    <row r="35" spans="2:8" ht="48" customHeight="1" x14ac:dyDescent="0.25">
      <c r="B35" s="61" t="s">
        <v>58</v>
      </c>
      <c r="C35" s="35">
        <f>(16.21*68)+(17.07*68)</f>
        <v>2263.04</v>
      </c>
      <c r="D35" s="62" t="s">
        <v>57</v>
      </c>
      <c r="H35" s="49"/>
    </row>
    <row r="36" spans="2:8" ht="50.25" customHeight="1" x14ac:dyDescent="0.25">
      <c r="B36" s="61" t="s">
        <v>56</v>
      </c>
      <c r="C36" s="59">
        <f>((6*0.21*455.5)+(6*0.22*455.5))</f>
        <v>1175.19</v>
      </c>
      <c r="D36" s="57" t="s">
        <v>55</v>
      </c>
      <c r="H36" s="49"/>
    </row>
    <row r="37" spans="2:8" ht="47.25" customHeight="1" x14ac:dyDescent="0.25">
      <c r="B37" s="60" t="s">
        <v>54</v>
      </c>
      <c r="C37" s="59">
        <f>(2*0.62*455.5)+(2*0.65*455.5)</f>
        <v>1156.97</v>
      </c>
      <c r="D37" s="57" t="s">
        <v>53</v>
      </c>
      <c r="H37" s="49"/>
    </row>
    <row r="38" spans="2:8" ht="47.25" customHeight="1" x14ac:dyDescent="0.25">
      <c r="B38" s="52" t="s">
        <v>52</v>
      </c>
      <c r="C38" s="58">
        <f>(5517.98+7173.37)*12</f>
        <v>152296.19999999998</v>
      </c>
      <c r="D38" s="57" t="s">
        <v>51</v>
      </c>
      <c r="H38" s="49"/>
    </row>
    <row r="39" spans="2:8" ht="47.25" customHeight="1" x14ac:dyDescent="0.25">
      <c r="B39" s="52" t="s">
        <v>50</v>
      </c>
      <c r="C39" s="58">
        <f>13973</f>
        <v>13973</v>
      </c>
      <c r="D39" s="57" t="s">
        <v>49</v>
      </c>
      <c r="H39" s="49"/>
    </row>
    <row r="40" spans="2:8" ht="47.25" customHeight="1" x14ac:dyDescent="0.25">
      <c r="B40" s="52" t="s">
        <v>48</v>
      </c>
      <c r="C40" s="19">
        <f>(113.78*1.65/12*172*6)+(127.2*1.65/12*172*6)</f>
        <v>34195.061999999998</v>
      </c>
      <c r="D40" s="56" t="s">
        <v>47</v>
      </c>
      <c r="H40" s="49"/>
    </row>
    <row r="41" spans="2:8" ht="47.25" customHeight="1" x14ac:dyDescent="0.25">
      <c r="B41" s="55" t="s">
        <v>46</v>
      </c>
      <c r="C41" s="54">
        <f>0.07*176.76*12</f>
        <v>148.47840000000002</v>
      </c>
      <c r="D41" s="53" t="s">
        <v>45</v>
      </c>
      <c r="H41" s="49"/>
    </row>
    <row r="42" spans="2:8" ht="47.25" customHeight="1" x14ac:dyDescent="0.25">
      <c r="B42" s="52" t="s">
        <v>44</v>
      </c>
      <c r="C42" s="51">
        <f>618.42*12</f>
        <v>7421.0399999999991</v>
      </c>
      <c r="D42" s="50" t="s">
        <v>43</v>
      </c>
      <c r="H42" s="49"/>
    </row>
    <row r="43" spans="2:8" ht="47.25" customHeight="1" x14ac:dyDescent="0.25">
      <c r="B43" s="52" t="s">
        <v>42</v>
      </c>
      <c r="C43" s="51">
        <f>3462.42/1.18*12</f>
        <v>35211.050847457627</v>
      </c>
      <c r="D43" s="50" t="s">
        <v>41</v>
      </c>
      <c r="H43" s="49"/>
    </row>
    <row r="44" spans="2:8" ht="23.25" customHeight="1" x14ac:dyDescent="0.25">
      <c r="B44" s="48" t="s">
        <v>40</v>
      </c>
      <c r="C44" s="47">
        <f>C31+C32+C33+C34+C35+C36+C37+C38+C39+C40+C41+C42+C43</f>
        <v>453523.20823832555</v>
      </c>
      <c r="D44" s="46"/>
    </row>
    <row r="45" spans="2:8" ht="23.25" customHeight="1" x14ac:dyDescent="0.2">
      <c r="B45" s="39" t="s">
        <v>39</v>
      </c>
      <c r="C45" s="35"/>
      <c r="D45" s="34"/>
    </row>
    <row r="46" spans="2:8" s="44" customFormat="1" ht="44.85" customHeight="1" x14ac:dyDescent="0.2">
      <c r="B46" s="45" t="s">
        <v>38</v>
      </c>
      <c r="C46" s="35">
        <f>(6.04*82.67+0.518*(3586.3+7.5)*12)</f>
        <v>22838.387599999998</v>
      </c>
      <c r="D46" s="34" t="s">
        <v>37</v>
      </c>
    </row>
    <row r="47" spans="2:8" ht="23.25" customHeight="1" x14ac:dyDescent="0.2">
      <c r="B47" s="43" t="s">
        <v>36</v>
      </c>
      <c r="C47" s="35">
        <f>14.86*510</f>
        <v>7578.5999999999995</v>
      </c>
      <c r="D47" s="34" t="s">
        <v>35</v>
      </c>
    </row>
    <row r="48" spans="2:8" ht="144" customHeight="1" x14ac:dyDescent="0.2">
      <c r="B48" s="42" t="s">
        <v>34</v>
      </c>
      <c r="C48" s="41">
        <v>0</v>
      </c>
      <c r="D48" s="34"/>
    </row>
    <row r="49" spans="2:8" ht="23.25" customHeight="1" x14ac:dyDescent="0.2">
      <c r="B49" s="40" t="s">
        <v>33</v>
      </c>
      <c r="C49" s="38">
        <v>0</v>
      </c>
      <c r="D49" s="34"/>
    </row>
    <row r="50" spans="2:8" ht="33" customHeight="1" x14ac:dyDescent="0.2">
      <c r="B50" s="39" t="s">
        <v>32</v>
      </c>
      <c r="C50" s="38">
        <f>(560.69+208.49/3)*19731/1000</f>
        <v>12434.21312</v>
      </c>
      <c r="D50" s="34" t="s">
        <v>31</v>
      </c>
    </row>
    <row r="51" spans="2:8" ht="23.25" customHeight="1" x14ac:dyDescent="0.2">
      <c r="B51" s="29" t="s">
        <v>30</v>
      </c>
      <c r="C51" s="38">
        <v>0</v>
      </c>
      <c r="D51" s="34"/>
    </row>
    <row r="52" spans="2:8" ht="47.25" customHeight="1" x14ac:dyDescent="0.2">
      <c r="B52" s="29" t="s">
        <v>29</v>
      </c>
      <c r="C52" s="35">
        <f>(426.51*82.67)+(426.51*82.67/1.302)*0.25</f>
        <v>42029.854683870974</v>
      </c>
      <c r="D52" s="34" t="s">
        <v>28</v>
      </c>
    </row>
    <row r="53" spans="2:8" ht="23.25" customHeight="1" x14ac:dyDescent="0.25">
      <c r="B53" s="28" t="s">
        <v>27</v>
      </c>
      <c r="C53" s="37">
        <f>C46+C47+C48+C49+C50+C51+C52</f>
        <v>84881.055403870967</v>
      </c>
      <c r="D53" s="36"/>
    </row>
    <row r="54" spans="2:8" ht="23.25" customHeight="1" x14ac:dyDescent="0.2">
      <c r="B54" s="29" t="s">
        <v>26</v>
      </c>
      <c r="C54" s="35"/>
      <c r="D54" s="34"/>
    </row>
    <row r="55" spans="2:8" s="30" customFormat="1" ht="23.25" customHeight="1" x14ac:dyDescent="0.2">
      <c r="B55" s="33" t="s">
        <v>25</v>
      </c>
      <c r="C55" s="32"/>
      <c r="D55" s="31"/>
    </row>
    <row r="56" spans="2:8" ht="23.25" customHeight="1" x14ac:dyDescent="0.2">
      <c r="B56" s="29" t="s">
        <v>24</v>
      </c>
      <c r="C56" s="19"/>
      <c r="D56" s="18"/>
    </row>
    <row r="57" spans="2:8" ht="23.25" customHeight="1" x14ac:dyDescent="0.2">
      <c r="B57" s="29" t="s">
        <v>23</v>
      </c>
      <c r="C57" s="19"/>
      <c r="D57" s="18"/>
    </row>
    <row r="58" spans="2:8" ht="23.25" customHeight="1" x14ac:dyDescent="0.2">
      <c r="B58" s="29" t="s">
        <v>22</v>
      </c>
      <c r="C58" s="19"/>
      <c r="D58" s="18"/>
    </row>
    <row r="59" spans="2:8" ht="23.25" customHeight="1" x14ac:dyDescent="0.2">
      <c r="B59" s="29" t="s">
        <v>21</v>
      </c>
      <c r="C59" s="19"/>
      <c r="D59" s="18"/>
    </row>
    <row r="60" spans="2:8" ht="23.25" customHeight="1" x14ac:dyDescent="0.25">
      <c r="B60" s="28" t="s">
        <v>20</v>
      </c>
      <c r="C60" s="22">
        <v>0</v>
      </c>
      <c r="D60" s="21"/>
    </row>
    <row r="61" spans="2:8" ht="43.15" customHeight="1" x14ac:dyDescent="0.2">
      <c r="B61" s="27" t="s">
        <v>19</v>
      </c>
      <c r="C61" s="19">
        <f>2.046*(3586.3+7.5)</f>
        <v>7352.9147999999996</v>
      </c>
      <c r="D61" s="18" t="s">
        <v>18</v>
      </c>
    </row>
    <row r="62" spans="2:8" ht="36" customHeight="1" x14ac:dyDescent="0.25">
      <c r="B62" s="24" t="s">
        <v>17</v>
      </c>
      <c r="C62" s="23">
        <f>1.28*(3586.3+7.5)</f>
        <v>4600.0640000000003</v>
      </c>
      <c r="D62" s="23" t="s">
        <v>16</v>
      </c>
      <c r="H62" s="26"/>
    </row>
    <row r="63" spans="2:8" ht="34.5" customHeight="1" x14ac:dyDescent="0.2">
      <c r="B63" s="20" t="s">
        <v>15</v>
      </c>
      <c r="C63" s="19">
        <f>(C44+C53+C60)*0.166</f>
        <v>89375.107764604632</v>
      </c>
      <c r="D63" s="18" t="s">
        <v>14</v>
      </c>
    </row>
    <row r="64" spans="2:8" ht="36" customHeight="1" x14ac:dyDescent="0.2">
      <c r="B64" s="20" t="s">
        <v>13</v>
      </c>
      <c r="C64" s="19">
        <f>0.98*3586.3</f>
        <v>3514.5740000000001</v>
      </c>
      <c r="D64" s="25" t="s">
        <v>12</v>
      </c>
    </row>
    <row r="65" spans="2:4" ht="36" customHeight="1" x14ac:dyDescent="0.2">
      <c r="B65" s="24" t="s">
        <v>11</v>
      </c>
      <c r="C65" s="23">
        <f>(C44+C53+C60+C63)*0.159</f>
        <v>99816.920053681388</v>
      </c>
      <c r="D65" s="18" t="s">
        <v>10</v>
      </c>
    </row>
    <row r="66" spans="2:4" ht="23.25" customHeight="1" x14ac:dyDescent="0.2">
      <c r="B66" s="16" t="s">
        <v>9</v>
      </c>
      <c r="C66" s="22">
        <f>C61+C62+C63+C64+C65</f>
        <v>204659.58061828601</v>
      </c>
      <c r="D66" s="21"/>
    </row>
    <row r="67" spans="2:4" s="17" customFormat="1" ht="24.75" customHeight="1" x14ac:dyDescent="0.2">
      <c r="B67" s="20" t="s">
        <v>8</v>
      </c>
      <c r="C67" s="19">
        <f>(C44+C53+C60+C66)*3%</f>
        <v>22291.915327814477</v>
      </c>
      <c r="D67" s="18"/>
    </row>
    <row r="68" spans="2:4" ht="23.25" customHeight="1" x14ac:dyDescent="0.2">
      <c r="B68" s="16" t="s">
        <v>7</v>
      </c>
      <c r="C68" s="15">
        <f>C44+C53+C60+C66+C67</f>
        <v>765355.75958829711</v>
      </c>
      <c r="D68" s="14"/>
    </row>
    <row r="69" spans="2:4" ht="23.25" customHeight="1" x14ac:dyDescent="0.2">
      <c r="B69" s="16" t="s">
        <v>6</v>
      </c>
      <c r="C69" s="15">
        <f>C68*1.18</f>
        <v>903119.79631419049</v>
      </c>
      <c r="D69" s="14"/>
    </row>
    <row r="70" spans="2:4" ht="23.25" customHeight="1" x14ac:dyDescent="0.2">
      <c r="B70" s="13"/>
      <c r="C70" s="12">
        <f>C28-C69</f>
        <v>-142981.39980219048</v>
      </c>
      <c r="D70" s="11"/>
    </row>
    <row r="71" spans="2:4" x14ac:dyDescent="0.2">
      <c r="C71" s="10"/>
      <c r="D71" s="10"/>
    </row>
    <row r="72" spans="2:4" x14ac:dyDescent="0.2">
      <c r="B72" s="3" t="s">
        <v>5</v>
      </c>
      <c r="C72" s="9"/>
      <c r="D72" s="8" t="s">
        <v>4</v>
      </c>
    </row>
    <row r="73" spans="2:4" x14ac:dyDescent="0.2">
      <c r="B73" s="7"/>
      <c r="C73" s="3"/>
      <c r="D73" s="3"/>
    </row>
    <row r="74" spans="2:4" x14ac:dyDescent="0.2">
      <c r="B74" s="7"/>
      <c r="C74" s="3"/>
      <c r="D74" s="3"/>
    </row>
    <row r="75" spans="2:4" ht="24" customHeight="1" x14ac:dyDescent="0.2">
      <c r="B75" s="6" t="s">
        <v>3</v>
      </c>
      <c r="C75" s="6"/>
      <c r="D75" s="6"/>
    </row>
    <row r="76" spans="2:4" ht="25.5" customHeight="1" x14ac:dyDescent="0.2">
      <c r="B76" s="6" t="s">
        <v>2</v>
      </c>
      <c r="C76" s="6"/>
      <c r="D76" s="6"/>
    </row>
    <row r="77" spans="2:4" ht="25.5" customHeight="1" x14ac:dyDescent="0.2">
      <c r="B77" s="5"/>
      <c r="C77" s="5"/>
      <c r="D77" s="5"/>
    </row>
    <row r="78" spans="2:4" ht="25.5" customHeight="1" x14ac:dyDescent="0.2">
      <c r="B78" s="5"/>
      <c r="C78" s="5"/>
      <c r="D78" s="5"/>
    </row>
    <row r="79" spans="2:4" x14ac:dyDescent="0.2">
      <c r="B79" s="3"/>
      <c r="C79" s="3"/>
      <c r="D79" s="3"/>
    </row>
    <row r="80" spans="2:4" x14ac:dyDescent="0.2">
      <c r="B80" s="3"/>
      <c r="C80" s="3"/>
      <c r="D80" s="3"/>
    </row>
    <row r="81" spans="2:4" ht="18.75" x14ac:dyDescent="0.3">
      <c r="B81" s="4" t="s">
        <v>1</v>
      </c>
      <c r="C81" s="4"/>
      <c r="D81" s="4" t="s">
        <v>0</v>
      </c>
    </row>
    <row r="82" spans="2:4" x14ac:dyDescent="0.2">
      <c r="B82" s="3"/>
      <c r="C82" s="3"/>
      <c r="D82" s="3"/>
    </row>
    <row r="83" spans="2:4" x14ac:dyDescent="0.2">
      <c r="B83" s="3"/>
      <c r="C83" s="3"/>
      <c r="D83" s="3"/>
    </row>
    <row r="84" spans="2:4" x14ac:dyDescent="0.2">
      <c r="B84" s="3"/>
      <c r="C84" s="3"/>
      <c r="D84" s="3"/>
    </row>
    <row r="85" spans="2:4" x14ac:dyDescent="0.2">
      <c r="B85" s="3"/>
      <c r="C85" s="3"/>
      <c r="D85" s="3"/>
    </row>
    <row r="86" spans="2:4" x14ac:dyDescent="0.2">
      <c r="B86" s="3"/>
      <c r="C86" s="3"/>
      <c r="D86" s="3"/>
    </row>
    <row r="88" spans="2:4" x14ac:dyDescent="0.2">
      <c r="B88" s="3"/>
      <c r="C88" s="3"/>
      <c r="D88" s="3"/>
    </row>
    <row r="89" spans="2:4" s="2" customFormat="1" ht="16.5" customHeight="1" x14ac:dyDescent="0.2"/>
    <row r="90" spans="2:4" s="2" customFormat="1" x14ac:dyDescent="0.2"/>
    <row r="91" spans="2:4" s="2" customFormat="1" x14ac:dyDescent="0.2"/>
    <row r="92" spans="2:4" s="2" customFormat="1" x14ac:dyDescent="0.2"/>
    <row r="93" spans="2:4" s="2" customFormat="1" x14ac:dyDescent="0.2"/>
    <row r="94" spans="2:4" s="2" customFormat="1" x14ac:dyDescent="0.2"/>
    <row r="95" spans="2:4" s="2" customFormat="1" x14ac:dyDescent="0.2"/>
    <row r="96" spans="2:4" s="2" customFormat="1" x14ac:dyDescent="0.2"/>
  </sheetData>
  <sheetProtection selectLockedCells="1" selectUnlockedCells="1"/>
  <mergeCells count="4">
    <mergeCell ref="B8:D8"/>
    <mergeCell ref="B9:D10"/>
    <mergeCell ref="B75:D75"/>
    <mergeCell ref="B76:D76"/>
  </mergeCells>
  <pageMargins left="0.25" right="0.25" top="0.75" bottom="0.75" header="0.3" footer="0.3"/>
  <pageSetup paperSize="9" scale="7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Комарова, 14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Лия</dc:creator>
  <cp:lastModifiedBy>Лия</cp:lastModifiedBy>
  <dcterms:created xsi:type="dcterms:W3CDTF">2015-02-09T07:06:13Z</dcterms:created>
  <dcterms:modified xsi:type="dcterms:W3CDTF">2015-02-09T07:06:30Z</dcterms:modified>
</cp:coreProperties>
</file>