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2060" activeTab="1"/>
  </bookViews>
  <sheets>
    <sheet name="горького 76" sheetId="1" r:id="rId1"/>
    <sheet name="горького 76 откоррект" sheetId="2" r:id="rId2"/>
  </sheets>
  <definedNames/>
  <calcPr fullCalcOnLoad="1"/>
</workbook>
</file>

<file path=xl/sharedStrings.xml><?xml version="1.0" encoding="utf-8"?>
<sst xmlns="http://schemas.openxmlformats.org/spreadsheetml/2006/main" count="353" uniqueCount="154">
  <si>
    <t>УТВЕРЖДАЮ</t>
  </si>
  <si>
    <t>И. о. директора ОАО" УЖХ</t>
  </si>
  <si>
    <t>Орджоникидзевского района"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</si>
  <si>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</si>
  <si>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</si>
  <si>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</si>
  <si>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</si>
  <si>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</si>
  <si>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</si>
  <si>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К-во кв.</t>
  </si>
  <si>
    <t>1.Начисление населению</t>
  </si>
  <si>
    <t>1 раз в мес.</t>
  </si>
  <si>
    <t>к-во польз. Усл.</t>
  </si>
  <si>
    <t>в т. ч. вывоз мусора (население)</t>
  </si>
  <si>
    <t>по графику</t>
  </si>
  <si>
    <t>Объем</t>
  </si>
  <si>
    <t>2. Начисление по нежилым помещениям</t>
  </si>
  <si>
    <t>Пл. подвала</t>
  </si>
  <si>
    <t>Пл. кровли</t>
  </si>
  <si>
    <t>Тех.обслуживание</t>
  </si>
  <si>
    <t>Пл. асфальта</t>
  </si>
  <si>
    <t>Вывоз мусора</t>
  </si>
  <si>
    <t>Тр. На профосмотр</t>
  </si>
  <si>
    <t>к-во уб.л/кл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</si>
  <si>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</si>
  <si>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</si>
  <si>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</si>
  <si>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</si>
  <si>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</si>
  <si>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</si>
  <si>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</si>
  <si>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</si>
  <si>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</si>
  <si>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</si>
  <si>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</si>
  <si>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</si>
  <si>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</si>
  <si>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</si>
  <si>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</si>
  <si>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</si>
  <si>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</si>
  <si>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</si>
  <si>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</si>
  <si>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</si>
  <si>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</si>
  <si>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</si>
  <si>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</si>
  <si>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</si>
  <si>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</si>
  <si>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АППЗ и ДУ</t>
  </si>
  <si>
    <t>1.Санитарное содержание</t>
  </si>
  <si>
    <t>-уборка придомовой территории</t>
  </si>
  <si>
    <t>.-уборка лестничных клеток</t>
  </si>
  <si>
    <t>.-обслуживание мусоропровода</t>
  </si>
  <si>
    <t>.- вывоз КГМ</t>
  </si>
  <si>
    <t>.-проверка дымоходов</t>
  </si>
  <si>
    <t>.-дератизация</t>
  </si>
  <si>
    <t>.-дезинсекция</t>
  </si>
  <si>
    <t>.-обслуживание узлов автоматического регулирования</t>
  </si>
  <si>
    <t>.-комплексное обслуживание лифтов</t>
  </si>
  <si>
    <t>.-вывоз мусора (население)САХ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</si>
  <si>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</si>
  <si>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</si>
  <si>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</si>
  <si>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</si>
  <si>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</si>
  <si>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</si>
  <si>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</si>
  <si>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</si>
  <si>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</si>
  <si>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-покраска металлических ограждений</t>
  </si>
  <si>
    <t>-резерв на непредвиденные работы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</si>
  <si>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</si>
  <si>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</si>
  <si>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</si>
  <si>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</si>
  <si>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</si>
  <si>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</si>
  <si>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</si>
  <si>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</si>
  <si>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</si>
  <si>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</si>
  <si>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5.ОДС</t>
  </si>
  <si>
    <t>6. Общеэксплуатационные расходы</t>
  </si>
  <si>
    <t>Рентабельность, 3%</t>
  </si>
  <si>
    <t>Итого стоимость услуг с НДС:</t>
  </si>
  <si>
    <t xml:space="preserve">Начальник ПЭО </t>
  </si>
  <si>
    <t>Дата исполнения</t>
  </si>
  <si>
    <t>1раз в месяц</t>
  </si>
  <si>
    <t>137,50руб.*12мес.</t>
  </si>
  <si>
    <t>каждый день</t>
  </si>
  <si>
    <t>0чел*8618,11 руб./чел*12 мес.</t>
  </si>
  <si>
    <t>((0чел.*8618,11руб/чел.)+0квартир*10,20529руб/кв)*12</t>
  </si>
  <si>
    <t>5457,5кв.м.*11,86руб.*12 мес.</t>
  </si>
  <si>
    <t>(256,74руб./куб.м.*0,02куб.м.*228чел.*6мес.)+(270,70руб./куб.м.*0,02куб.м.*228чел.*6мес.)</t>
  </si>
  <si>
    <t>.-очистка вентканалов</t>
  </si>
  <si>
    <t>(16,86руб.*78вентк.*2раза)</t>
  </si>
  <si>
    <t>(4раза в год*51,98 руб.*0 дымоходов)</t>
  </si>
  <si>
    <t>4раза в год</t>
  </si>
  <si>
    <t>(6раз в год*0,24 руб./мес.*695,00кв.м.)+(6раз в год*0,25руб.в мес.*695,00кв.м.)</t>
  </si>
  <si>
    <t>(2 раза в год*0,56руб./мес.*695,00кв.м.)+(2раза в год*0,59руб./мес.*695,00кв.м.)</t>
  </si>
  <si>
    <t>143,5кв.м.*10,86руб.*12мес.</t>
  </si>
  <si>
    <t>707,6кв.м.*10,86руб.*12мес.</t>
  </si>
  <si>
    <t>59,3кв.м.*10,86руб.*12мес.</t>
  </si>
  <si>
    <t>208кв.м.*10,86руб.*12мес.</t>
  </si>
  <si>
    <t>79,3кв.м.*10,86руб.*12мес.</t>
  </si>
  <si>
    <t>94,8кв.м.*10,86руб.*12мес.</t>
  </si>
  <si>
    <t>.-т/о приборов учета тепловой энергии</t>
  </si>
  <si>
    <t>0руб./мес.*12мес./1,18</t>
  </si>
  <si>
    <t>0руб./мес.*12 мес.*0 лифтов</t>
  </si>
  <si>
    <t>0руб./мес.*12 мес./1,18</t>
  </si>
  <si>
    <t>((127,20руб./куб.м..в мес.*228чел.*6мес.*1,65/12)+(142,22 руб./куб.м.в мес.*228чел.*6мес.*1,65/12))</t>
  </si>
  <si>
    <t>13,82руб./кв.м.*2268,50кв.м.</t>
  </si>
  <si>
    <t>гидравлич.испытания - 1 раз в год,промывка - 1 раз в 3 года</t>
  </si>
  <si>
    <t>(606,04руб./куб.м.+235,22/3руб./куб.м.)*28793,00/1000</t>
  </si>
  <si>
    <t>(627,28ч/час*86,9979руб./час)+(627,28ч/час*86,9979руб./час/1,302)*25%</t>
  </si>
  <si>
    <t>Прямые расходы*0,212*</t>
  </si>
  <si>
    <t>1 раз в месяц</t>
  </si>
  <si>
    <t>Всего по п.4-7:</t>
  </si>
  <si>
    <t>____________________Р.А. Андреев</t>
  </si>
  <si>
    <t>План работ на 2015г., согласно Постановлению Правительства РФ от 23 сентября 2010г. №731 п.11 пп.б</t>
  </si>
  <si>
    <t>Смета доходов  и расходов на содержание и текущий ремонт общедомового имущества дома №76, ул.М.Горького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</si>
  <si>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</si>
  <si>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</si>
  <si>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>А. А.Бахтиярова</t>
  </si>
  <si>
    <t>7. Услуги по начислению и сбору платежей и управлению домом</t>
  </si>
  <si>
    <t>40,30кв.м.*10,86руб.*12мес.</t>
  </si>
  <si>
    <t>40,60кв.м.*10,86руб.*12мес.</t>
  </si>
  <si>
    <t>124,00кв.м.*10,86руб.*12мес.</t>
  </si>
  <si>
    <t>1)ИП Каримов Хатмулла Абдулович (143,5 кв.м)</t>
  </si>
  <si>
    <t>2)ООО "Форест" (707,6 кв.м)</t>
  </si>
  <si>
    <t>3)Антонов Сергей Эрнестович (59,3 кв.м)</t>
  </si>
  <si>
    <t>4)ООО "Панда" (208 кв.м)</t>
  </si>
  <si>
    <t>5)ООО "Реакция бюллетеня "Товары и услуги РБ" (79,3 кв.м)</t>
  </si>
  <si>
    <t>6)ИП Галиуллин Шамиль Мукалляфович (94,8 кв.м)</t>
  </si>
  <si>
    <t>7)ООО "Интергрупп"(40,30 кв.м)</t>
  </si>
  <si>
    <t>8)ООО "Интергрупп"(40,60 кв.м)</t>
  </si>
  <si>
    <t xml:space="preserve"> 9)Региональная общественная организация общества греков "Ксимерома" Республики Башкоротостан.(124 кв.м.)</t>
  </si>
  <si>
    <t>2,679 руб./кв.м.*(5457,50кв.м.+1497,4кв.м.)</t>
  </si>
  <si>
    <t>1,29руб./кв.м*(5457,50кв.м.+1497,4кв.м.)</t>
  </si>
  <si>
    <t>5,86куб.м.*(178,32руб.*6мес.+203,11*6)</t>
  </si>
  <si>
    <t>0,83куб.м.*(178,32руб.*1,18*6мес.+203,11руб.*1,18*6мес.)</t>
  </si>
  <si>
    <t>0,33куб.м.*(178,32руб.*1,18*6мес.+203,11руб.*1,18*6мес.)</t>
  </si>
  <si>
    <t>1,47куб.м.*(178,32руб.*1,18*6мес.+203,11руб.*1,18*6мес.)</t>
  </si>
  <si>
    <t>0,88куб.м.*(178,32руб.*1,18*6мес.+203,11руб.*1,18*6мес.)</t>
  </si>
  <si>
    <t>(15,59ч/час*86,9979руб./час.+1,53руб./м.кв.*5457,50+1497,4кв.м.)*12мес.</t>
  </si>
  <si>
    <t>(1,02чел.*((3221+200)*1,15*1,5*1,083*1,302)+0,084руб./кв.м.асф.покр.*1989,14кв.м.)*12 мес.</t>
  </si>
  <si>
    <t>((127,11руб./куб.м.в мес.*228чел.*6мес.*1,65/12)+(144,83 руб./куб.м.в мес.*228.*6мес.*1,65/12))*1,18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</si>
  <si>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</si>
  <si>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r>
      <rPr>
        <sz val="10"/>
        <color indexed="8"/>
        <rFont val="Times New Roman"/>
        <family val="1"/>
      </rPr>
      <t>Остаток средств на 01.01.2015г. Составляет 1 473 641,93 руб.(Итоговая сумма может быть скорректирова</t>
    </r>
    <r>
      <rPr>
        <sz val="10"/>
        <color indexed="8"/>
        <rFont val="Calibri"/>
        <family val="2"/>
      </rPr>
      <t>на)</t>
    </r>
  </si>
  <si>
    <t>(1,27чел.*((3221+200)*1,15*1,5*1,083*1,302)+0,084руб./кв.м.асф.покр.*2701,89кв.м.)*12 мес.</t>
  </si>
  <si>
    <t>Смета доходов  и расходов на содержание и текущий ремонт общедомового имущества дома №76, ул.М.Горького (откорректирована с учетом проведения работ по текущему ремонту на 01.06.2015г.)</t>
  </si>
  <si>
    <t>ежемесячно</t>
  </si>
  <si>
    <t>З/плата уборщицы с 01.05.2015г. согласно протокола (6604,24 руб. в месяц)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</si>
</sst>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33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9" fillId="0" borderId="12" xfId="0" applyNumberFormat="1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 vertical="center" wrapText="1"/>
    </xf>
    <xf numFmtId="4" fontId="2" fillId="36" borderId="14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13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4"/>
  <sheetViews>
    <sheetView zoomScalePageLayoutView="0" workbookViewId="0" topLeftCell="A54">
      <selection activeCell="C78" sqref="C78"/>
    </sheetView>
  </sheetViews>
  <sheetFormatPr defaultColWidth="11.57421875" defaultRowHeight="15"/>
  <cols>
    <col min="1" max="1" width="4.140625" style="0" customWidth="1"/>
    <col min="2" max="2" width="37.57421875" style="0" customWidth="1"/>
    <col min="3" max="3" width="13.7109375" style="0" customWidth="1"/>
    <col min="4" max="4" width="42.140625" style="0" customWidth="1"/>
    <col min="5" max="5" width="19.421875" style="0" customWidth="1"/>
    <col min="6" max="8" width="0" style="0" hidden="1" customWidth="1"/>
    <col min="9" max="9" width="11.57421875" style="0" customWidth="1"/>
    <col min="10" max="10" width="15.00390625" style="0" customWidth="1"/>
    <col min="11" max="11" width="25.28125" style="0" customWidth="1"/>
  </cols>
  <sheetData>
    <row r="1" spans="2:4" ht="15.75">
      <c r="B1" s="1"/>
      <c r="C1" s="1"/>
      <c r="D1" s="52" t="s">
        <v>0</v>
      </c>
    </row>
    <row r="2" spans="2:4" ht="15.75">
      <c r="B2" s="1"/>
      <c r="C2" s="1"/>
      <c r="D2" s="52" t="s">
        <v>1</v>
      </c>
    </row>
    <row r="3" spans="2:4" ht="15.75">
      <c r="B3" s="1"/>
      <c r="C3" s="1"/>
      <c r="D3" s="52" t="s">
        <v>2</v>
      </c>
    </row>
    <row r="4" spans="2:4" ht="15.75">
      <c r="B4" s="1"/>
      <c r="C4" s="1"/>
      <c r="D4" s="52"/>
    </row>
    <row r="5" spans="2:4" ht="15.75">
      <c r="B5" s="1"/>
      <c r="C5" s="1"/>
      <c r="D5" s="52" t="s">
        <v>119</v>
      </c>
    </row>
    <row r="6" spans="2:4" ht="15.75">
      <c r="B6" s="1"/>
      <c r="C6" s="1"/>
      <c r="D6" s="52"/>
    </row>
    <row r="7" spans="2:5" ht="42.75" customHeight="1">
      <c r="B7" s="79" t="s">
        <v>120</v>
      </c>
      <c r="C7" s="79"/>
      <c r="D7" s="79"/>
      <c r="E7" s="79"/>
    </row>
    <row r="8" spans="2:4" ht="42.75" customHeight="1">
      <c r="B8" s="80" t="s">
        <v>121</v>
      </c>
      <c r="C8" s="80"/>
      <c r="D8" s="80"/>
    </row>
    <row r="9" spans="2:4" ht="18" customHeight="1">
      <c r="B9" s="2"/>
      <c r="C9" s="1"/>
      <c r="D9" s="1"/>
    </row>
    <row r="10" spans="2:4" ht="15">
      <c r="B10" s="1"/>
      <c r="C10" s="1"/>
      <c r="D10" s="1"/>
    </row>
    <row r="11" spans="2:4" ht="15">
      <c r="B11" s="1" t="s">
        <v>3</v>
      </c>
      <c r="C11" s="42">
        <v>5457.5</v>
      </c>
      <c r="D11" s="42" t="s">
        <v>4</v>
      </c>
    </row>
    <row r="12" spans="2:4" ht="15">
      <c r="B12" s="1" t="s">
        <v>5</v>
      </c>
      <c r="C12" s="43">
        <v>1497.4</v>
      </c>
      <c r="D12" s="44"/>
    </row>
    <row r="13" spans="2:4" ht="15">
      <c r="B13" s="3"/>
      <c r="C13" s="4"/>
      <c r="D13" s="4"/>
    </row>
    <row r="14" spans="2:8" ht="30.75" customHeight="1">
      <c r="B14" s="9" t="s">
        <v>6</v>
      </c>
      <c r="C14" s="9" t="s">
        <v>7</v>
      </c>
      <c r="D14" s="9" t="s">
        <v>8</v>
      </c>
      <c r="E14" s="53" t="s">
        <v>87</v>
      </c>
      <c r="F14" s="8" t="s">
        <v>9</v>
      </c>
      <c r="G14">
        <v>79</v>
      </c>
      <c r="H14">
        <v>13.05</v>
      </c>
    </row>
    <row r="15" spans="2:7" ht="18.75" customHeight="1">
      <c r="B15" s="69" t="s">
        <v>10</v>
      </c>
      <c r="C15" s="66">
        <f>5457.5*11.86*12</f>
        <v>776711.3999999999</v>
      </c>
      <c r="D15" s="13" t="s">
        <v>93</v>
      </c>
      <c r="E15" s="59" t="s">
        <v>88</v>
      </c>
      <c r="F15" t="s">
        <v>12</v>
      </c>
      <c r="G15">
        <v>230</v>
      </c>
    </row>
    <row r="16" spans="2:7" ht="63" customHeight="1">
      <c r="B16" s="70" t="s">
        <v>13</v>
      </c>
      <c r="C16" s="14">
        <f>(127.11*1.65/12*228*6)+(144.83*1.65/12*228*6)*1.18</f>
        <v>56055.56814</v>
      </c>
      <c r="D16" s="15" t="s">
        <v>147</v>
      </c>
      <c r="E16" s="59"/>
      <c r="F16" t="s">
        <v>15</v>
      </c>
      <c r="G16">
        <v>28793</v>
      </c>
    </row>
    <row r="17" spans="2:7" ht="19.5" customHeight="1">
      <c r="B17" s="38" t="s">
        <v>16</v>
      </c>
      <c r="C17" s="36">
        <f>C18+C20+C22+C25+C28+C31+C34+C37+C40</f>
        <v>210966.240984</v>
      </c>
      <c r="D17" s="37"/>
      <c r="E17" s="55" t="s">
        <v>11</v>
      </c>
      <c r="F17" t="s">
        <v>17</v>
      </c>
      <c r="G17">
        <v>695</v>
      </c>
    </row>
    <row r="18" spans="2:7" ht="28.5">
      <c r="B18" s="39" t="s">
        <v>129</v>
      </c>
      <c r="C18" s="36">
        <f>143.5*10.86*12</f>
        <v>18700.92</v>
      </c>
      <c r="D18" s="37"/>
      <c r="E18" s="55"/>
      <c r="F18" t="s">
        <v>18</v>
      </c>
      <c r="G18">
        <v>2268.5</v>
      </c>
    </row>
    <row r="19" spans="2:7" ht="15">
      <c r="B19" s="38" t="s">
        <v>19</v>
      </c>
      <c r="C19" s="36">
        <f>143.5*10.86*12</f>
        <v>18700.92</v>
      </c>
      <c r="D19" s="37" t="s">
        <v>101</v>
      </c>
      <c r="E19" s="55"/>
      <c r="F19" t="s">
        <v>20</v>
      </c>
      <c r="G19">
        <v>1989.14</v>
      </c>
    </row>
    <row r="20" spans="2:7" ht="15">
      <c r="B20" s="39" t="s">
        <v>130</v>
      </c>
      <c r="C20" s="36">
        <f>C21</f>
        <v>92214.432</v>
      </c>
      <c r="D20" s="37"/>
      <c r="E20" s="60"/>
      <c r="F20" t="s">
        <v>22</v>
      </c>
      <c r="G20">
        <v>15.59</v>
      </c>
    </row>
    <row r="21" spans="2:11" ht="15">
      <c r="B21" s="38" t="s">
        <v>19</v>
      </c>
      <c r="C21" s="36">
        <f>707.6*10.86*12</f>
        <v>92214.432</v>
      </c>
      <c r="D21" s="37" t="s">
        <v>102</v>
      </c>
      <c r="E21" s="55"/>
      <c r="F21" t="s">
        <v>23</v>
      </c>
      <c r="G21">
        <v>0</v>
      </c>
      <c r="K21" s="41"/>
    </row>
    <row r="22" spans="2:5" ht="28.5">
      <c r="B22" s="39" t="s">
        <v>131</v>
      </c>
      <c r="C22" s="36">
        <f>C23+C24</f>
        <v>9969.411251999998</v>
      </c>
      <c r="D22" s="37"/>
      <c r="E22" s="55"/>
    </row>
    <row r="23" spans="2:5" ht="15">
      <c r="B23" s="38" t="s">
        <v>19</v>
      </c>
      <c r="C23" s="36">
        <f>59.3*10.86*12</f>
        <v>7727.975999999999</v>
      </c>
      <c r="D23" s="37" t="s">
        <v>103</v>
      </c>
      <c r="E23" s="55"/>
    </row>
    <row r="24" spans="2:5" ht="30">
      <c r="B24" s="38" t="s">
        <v>21</v>
      </c>
      <c r="C24" s="25">
        <f>0.83*(178.32*1.18*6+203.11*1.18*6)</f>
        <v>2241.435252</v>
      </c>
      <c r="D24" s="20" t="s">
        <v>141</v>
      </c>
      <c r="E24" s="55"/>
    </row>
    <row r="25" spans="2:5" ht="15">
      <c r="B25" s="39" t="s">
        <v>132</v>
      </c>
      <c r="C25" s="36">
        <f>C26+C27</f>
        <v>27997.733052000003</v>
      </c>
      <c r="D25" s="37"/>
      <c r="E25" s="55"/>
    </row>
    <row r="26" spans="2:5" ht="15">
      <c r="B26" s="38" t="s">
        <v>19</v>
      </c>
      <c r="C26" s="36">
        <f>208*10.86*12</f>
        <v>27106.56</v>
      </c>
      <c r="D26" s="37" t="s">
        <v>104</v>
      </c>
      <c r="E26" s="55"/>
    </row>
    <row r="27" spans="2:5" ht="30">
      <c r="B27" s="38" t="s">
        <v>21</v>
      </c>
      <c r="C27" s="25">
        <f>0.33*(178.32*1.18*6+203.11*1.18*6)</f>
        <v>891.1730520000001</v>
      </c>
      <c r="D27" s="20" t="s">
        <v>142</v>
      </c>
      <c r="E27" s="55"/>
    </row>
    <row r="28" spans="2:5" ht="28.5">
      <c r="B28" s="39" t="s">
        <v>133</v>
      </c>
      <c r="C28" s="36">
        <f>C29+C30</f>
        <v>14304.146868</v>
      </c>
      <c r="D28" s="37"/>
      <c r="E28" s="55"/>
    </row>
    <row r="29" spans="2:5" ht="15">
      <c r="B29" s="38" t="s">
        <v>19</v>
      </c>
      <c r="C29" s="36">
        <f>79.3*10.86*12</f>
        <v>10334.376</v>
      </c>
      <c r="D29" s="37" t="s">
        <v>105</v>
      </c>
      <c r="E29" s="55"/>
    </row>
    <row r="30" spans="2:5" ht="30">
      <c r="B30" s="38" t="s">
        <v>21</v>
      </c>
      <c r="C30" s="25">
        <f>1.47*(178.32*1.18*6+203.11*1.18*6)</f>
        <v>3969.770868</v>
      </c>
      <c r="D30" s="20" t="s">
        <v>143</v>
      </c>
      <c r="E30" s="55"/>
    </row>
    <row r="31" spans="2:5" ht="28.5">
      <c r="B31" s="39" t="s">
        <v>134</v>
      </c>
      <c r="C31" s="36">
        <f>C32+C33</f>
        <v>16324.106867999999</v>
      </c>
      <c r="D31" s="37"/>
      <c r="E31" s="60"/>
    </row>
    <row r="32" spans="2:5" ht="15">
      <c r="B32" s="38" t="s">
        <v>19</v>
      </c>
      <c r="C32" s="36">
        <f>94.8*10.86*12</f>
        <v>12354.336</v>
      </c>
      <c r="D32" s="37" t="s">
        <v>106</v>
      </c>
      <c r="E32" s="60"/>
    </row>
    <row r="33" spans="2:5" ht="30">
      <c r="B33" s="40" t="s">
        <v>21</v>
      </c>
      <c r="C33" s="34">
        <f>1.47*(178.32*1.18*6+203.11*1.18*6)</f>
        <v>3969.770868</v>
      </c>
      <c r="D33" s="35" t="s">
        <v>143</v>
      </c>
      <c r="E33" s="61"/>
    </row>
    <row r="34" spans="2:5" ht="15">
      <c r="B34" s="39" t="s">
        <v>135</v>
      </c>
      <c r="C34" s="36">
        <f>C35+C36</f>
        <v>7628.357472</v>
      </c>
      <c r="D34" s="37"/>
      <c r="E34" s="60"/>
    </row>
    <row r="35" spans="2:5" ht="15">
      <c r="B35" s="38" t="s">
        <v>19</v>
      </c>
      <c r="C35" s="36">
        <f>40.3*10.86*12</f>
        <v>5251.896</v>
      </c>
      <c r="D35" s="37" t="s">
        <v>126</v>
      </c>
      <c r="E35" s="60"/>
    </row>
    <row r="36" spans="2:5" ht="30">
      <c r="B36" s="38" t="s">
        <v>21</v>
      </c>
      <c r="C36" s="36">
        <f>0.88*(178.32*1.18*6+203.11*1.18*6)</f>
        <v>2376.4614720000004</v>
      </c>
      <c r="D36" s="37" t="s">
        <v>144</v>
      </c>
      <c r="E36" s="60"/>
    </row>
    <row r="37" spans="2:5" ht="15">
      <c r="B37" s="39" t="s">
        <v>136</v>
      </c>
      <c r="C37" s="36">
        <f>C38+C39</f>
        <v>7667.453472000001</v>
      </c>
      <c r="D37" s="37"/>
      <c r="E37" s="60"/>
    </row>
    <row r="38" spans="2:5" ht="15">
      <c r="B38" s="38" t="s">
        <v>19</v>
      </c>
      <c r="C38" s="36">
        <f>40.6*10.86*12</f>
        <v>5290.992</v>
      </c>
      <c r="D38" s="37" t="s">
        <v>127</v>
      </c>
      <c r="E38" s="60"/>
    </row>
    <row r="39" spans="2:5" ht="30">
      <c r="B39" s="38" t="s">
        <v>21</v>
      </c>
      <c r="C39" s="36">
        <f>0.88*(178.32*1.18*6+203.11*1.18*6)</f>
        <v>2376.4614720000004</v>
      </c>
      <c r="D39" s="37" t="s">
        <v>144</v>
      </c>
      <c r="E39" s="60"/>
    </row>
    <row r="40" spans="2:5" ht="57">
      <c r="B40" s="39" t="s">
        <v>137</v>
      </c>
      <c r="C40" s="36">
        <f>124*10.86*12</f>
        <v>16159.679999999998</v>
      </c>
      <c r="D40" s="36"/>
      <c r="E40" s="60"/>
    </row>
    <row r="41" spans="2:5" ht="15">
      <c r="B41" s="38" t="s">
        <v>19</v>
      </c>
      <c r="C41" s="36">
        <f>124*10.86*12</f>
        <v>16159.679999999998</v>
      </c>
      <c r="D41" s="37" t="s">
        <v>128</v>
      </c>
      <c r="E41" s="60"/>
    </row>
    <row r="42" spans="2:7" ht="21" customHeight="1">
      <c r="B42" s="39" t="s">
        <v>24</v>
      </c>
      <c r="C42" s="57">
        <f>C17+C15</f>
        <v>987677.6409839999</v>
      </c>
      <c r="D42" s="54"/>
      <c r="E42" s="60"/>
      <c r="F42" t="s">
        <v>25</v>
      </c>
      <c r="G42">
        <v>627.28</v>
      </c>
    </row>
    <row r="43" spans="2:7" ht="30.75" customHeight="1">
      <c r="B43" s="10" t="s">
        <v>26</v>
      </c>
      <c r="C43" s="12">
        <f>C44+C45+C46+C47+C48+C49</f>
        <v>6839.76</v>
      </c>
      <c r="D43" s="12"/>
      <c r="E43" s="62"/>
      <c r="G43">
        <v>0.87</v>
      </c>
    </row>
    <row r="44" spans="2:7" ht="15.75" customHeight="1">
      <c r="B44" s="10" t="s">
        <v>27</v>
      </c>
      <c r="C44" s="17">
        <f>34.98*12</f>
        <v>419.76</v>
      </c>
      <c r="D44" s="16" t="s">
        <v>28</v>
      </c>
      <c r="E44" s="59" t="s">
        <v>88</v>
      </c>
      <c r="F44" s="5" t="s">
        <v>29</v>
      </c>
      <c r="G44">
        <v>0</v>
      </c>
    </row>
    <row r="45" spans="2:7" ht="15.75" customHeight="1">
      <c r="B45" s="10" t="s">
        <v>30</v>
      </c>
      <c r="C45" s="17">
        <f>137.5*12</f>
        <v>1650</v>
      </c>
      <c r="D45" s="16" t="s">
        <v>89</v>
      </c>
      <c r="E45" s="59" t="s">
        <v>88</v>
      </c>
      <c r="F45" s="5" t="s">
        <v>32</v>
      </c>
      <c r="G45">
        <v>0</v>
      </c>
    </row>
    <row r="46" spans="2:7" ht="15.75" customHeight="1">
      <c r="B46" s="10" t="s">
        <v>33</v>
      </c>
      <c r="C46" s="17">
        <f>123.75*12</f>
        <v>1485</v>
      </c>
      <c r="D46" s="16" t="s">
        <v>34</v>
      </c>
      <c r="E46" s="59" t="s">
        <v>88</v>
      </c>
      <c r="F46" t="s">
        <v>35</v>
      </c>
      <c r="G46">
        <v>0</v>
      </c>
    </row>
    <row r="47" spans="2:7" ht="15.75" customHeight="1">
      <c r="B47" s="10" t="s">
        <v>36</v>
      </c>
      <c r="C47" s="17">
        <f>150*12</f>
        <v>1800</v>
      </c>
      <c r="D47" s="16" t="s">
        <v>37</v>
      </c>
      <c r="E47" s="59" t="s">
        <v>88</v>
      </c>
      <c r="F47" t="s">
        <v>38</v>
      </c>
      <c r="G47">
        <v>0</v>
      </c>
    </row>
    <row r="48" spans="2:7" ht="15.75" customHeight="1">
      <c r="B48" s="10" t="s">
        <v>39</v>
      </c>
      <c r="C48" s="17">
        <f>123.75*12</f>
        <v>1485</v>
      </c>
      <c r="D48" s="16" t="s">
        <v>34</v>
      </c>
      <c r="E48" s="59" t="s">
        <v>88</v>
      </c>
      <c r="F48" t="s">
        <v>40</v>
      </c>
      <c r="G48">
        <v>0</v>
      </c>
    </row>
    <row r="49" spans="2:7" ht="15.75" customHeight="1" hidden="1">
      <c r="B49" s="32" t="s">
        <v>41</v>
      </c>
      <c r="C49" s="33">
        <f>0*12</f>
        <v>0</v>
      </c>
      <c r="D49" s="33" t="s">
        <v>31</v>
      </c>
      <c r="E49" s="63"/>
      <c r="F49" t="s">
        <v>42</v>
      </c>
      <c r="G49">
        <v>0</v>
      </c>
    </row>
    <row r="50" spans="2:7" ht="15.75" customHeight="1" hidden="1">
      <c r="B50" s="10" t="s">
        <v>43</v>
      </c>
      <c r="C50" s="12">
        <v>0</v>
      </c>
      <c r="D50" s="12"/>
      <c r="E50" s="62"/>
      <c r="F50" t="s">
        <v>44</v>
      </c>
      <c r="G50">
        <v>0</v>
      </c>
    </row>
    <row r="51" spans="2:8" ht="15.75" customHeight="1">
      <c r="B51" s="10" t="s">
        <v>45</v>
      </c>
      <c r="C51" s="58">
        <f>C42+C43+C50</f>
        <v>994517.400984</v>
      </c>
      <c r="D51" s="12"/>
      <c r="E51" s="62"/>
      <c r="F51" t="s">
        <v>46</v>
      </c>
      <c r="G51">
        <v>0</v>
      </c>
      <c r="H51">
        <v>0</v>
      </c>
    </row>
    <row r="52" spans="2:7" ht="30.75" customHeight="1">
      <c r="B52" s="11" t="s">
        <v>47</v>
      </c>
      <c r="C52" s="9" t="s">
        <v>7</v>
      </c>
      <c r="D52" s="9" t="s">
        <v>48</v>
      </c>
      <c r="E52" s="62"/>
      <c r="F52" t="s">
        <v>49</v>
      </c>
      <c r="G52">
        <v>0</v>
      </c>
    </row>
    <row r="53" spans="2:5" ht="21.75" customHeight="1">
      <c r="B53" s="10" t="s">
        <v>50</v>
      </c>
      <c r="C53" s="12"/>
      <c r="D53" s="12"/>
      <c r="E53" s="62"/>
    </row>
    <row r="54" spans="2:11" ht="44.25" customHeight="1">
      <c r="B54" s="71" t="s">
        <v>51</v>
      </c>
      <c r="C54" s="18">
        <f>(1.27*((3221+200)*1.15*1.5*1.083*1.302)+0.084*2701.89)*12</f>
        <v>129537.32409815399</v>
      </c>
      <c r="D54" s="19" t="s">
        <v>150</v>
      </c>
      <c r="E54" s="59" t="s">
        <v>90</v>
      </c>
      <c r="J54" s="18">
        <f>(1.02*((3221+200)*1.15*1.5*1.083*1.302)+0.084*1989.14)*12</f>
        <v>103855.521905604</v>
      </c>
      <c r="K54" s="19" t="s">
        <v>146</v>
      </c>
    </row>
    <row r="55" spans="2:5" ht="21" customHeight="1" hidden="1">
      <c r="B55" s="71" t="s">
        <v>52</v>
      </c>
      <c r="C55" s="18">
        <f>0*8184.66*12</f>
        <v>0</v>
      </c>
      <c r="D55" s="19" t="s">
        <v>91</v>
      </c>
      <c r="E55" s="59"/>
    </row>
    <row r="56" spans="2:5" ht="33.75" customHeight="1" hidden="1">
      <c r="B56" s="71" t="s">
        <v>53</v>
      </c>
      <c r="C56" s="18">
        <f>((0*8184.66)+0*8.74724)*12</f>
        <v>0</v>
      </c>
      <c r="D56" s="19" t="s">
        <v>92</v>
      </c>
      <c r="E56" s="59"/>
    </row>
    <row r="57" spans="2:5" ht="33" customHeight="1">
      <c r="B57" s="71" t="s">
        <v>54</v>
      </c>
      <c r="C57" s="17">
        <f>(256.74*0.02*228*6)+(270.7*0.02*228*6)</f>
        <v>14430.758399999999</v>
      </c>
      <c r="D57" s="16" t="s">
        <v>94</v>
      </c>
      <c r="E57" s="59"/>
    </row>
    <row r="58" spans="2:5" ht="21" customHeight="1">
      <c r="B58" s="71" t="s">
        <v>95</v>
      </c>
      <c r="C58" s="17">
        <f>(16.86*78*2)</f>
        <v>2630.16</v>
      </c>
      <c r="D58" s="20" t="s">
        <v>96</v>
      </c>
      <c r="E58" s="59"/>
    </row>
    <row r="59" spans="2:5" ht="33.75" customHeight="1" hidden="1">
      <c r="B59" s="71" t="s">
        <v>55</v>
      </c>
      <c r="C59" s="17">
        <f>(4*51.98*0)</f>
        <v>0</v>
      </c>
      <c r="D59" s="20" t="s">
        <v>97</v>
      </c>
      <c r="E59" s="59"/>
    </row>
    <row r="60" spans="2:5" ht="45.75" customHeight="1">
      <c r="B60" s="71" t="s">
        <v>56</v>
      </c>
      <c r="C60" s="17">
        <f>((6*0.24*695)+(6*0.25*695))</f>
        <v>2043.3</v>
      </c>
      <c r="D60" s="20" t="s">
        <v>99</v>
      </c>
      <c r="E60" s="59" t="s">
        <v>88</v>
      </c>
    </row>
    <row r="61" spans="2:5" ht="45.75" customHeight="1">
      <c r="B61" s="72" t="s">
        <v>57</v>
      </c>
      <c r="C61" s="17">
        <f>(2*0.56*695)+(2*0.59*695)</f>
        <v>1598.5</v>
      </c>
      <c r="D61" s="20" t="s">
        <v>100</v>
      </c>
      <c r="E61" s="59" t="s">
        <v>98</v>
      </c>
    </row>
    <row r="62" spans="2:5" ht="31.5" customHeight="1" hidden="1">
      <c r="B62" s="73" t="s">
        <v>107</v>
      </c>
      <c r="C62" s="21">
        <f>0*12/1.18</f>
        <v>0</v>
      </c>
      <c r="D62" s="22" t="s">
        <v>110</v>
      </c>
      <c r="E62" s="59" t="s">
        <v>88</v>
      </c>
    </row>
    <row r="63" spans="2:5" ht="31.5" customHeight="1" hidden="1">
      <c r="B63" s="74" t="s">
        <v>58</v>
      </c>
      <c r="C63" s="21">
        <f>0/1.18*12</f>
        <v>0</v>
      </c>
      <c r="D63" s="22" t="s">
        <v>108</v>
      </c>
      <c r="E63" s="59"/>
    </row>
    <row r="64" spans="2:5" ht="21.75" customHeight="1" hidden="1">
      <c r="B64" s="74" t="s">
        <v>59</v>
      </c>
      <c r="C64" s="21">
        <f>0*0*12</f>
        <v>0</v>
      </c>
      <c r="D64" s="22" t="s">
        <v>109</v>
      </c>
      <c r="E64" s="59"/>
    </row>
    <row r="65" spans="2:5" ht="48.75" customHeight="1">
      <c r="B65" s="75" t="s">
        <v>60</v>
      </c>
      <c r="C65" s="14">
        <f>(127.11*1.65/12*228*6)+(144.83*1.65/12*228*6)</f>
        <v>51151.914000000004</v>
      </c>
      <c r="D65" s="15" t="s">
        <v>111</v>
      </c>
      <c r="E65" s="59" t="s">
        <v>14</v>
      </c>
    </row>
    <row r="66" spans="2:5" ht="21" customHeight="1">
      <c r="B66" s="75" t="s">
        <v>61</v>
      </c>
      <c r="C66" s="67">
        <f>5.86*(178.32*6+203.11*6)</f>
        <v>13411.078800000001</v>
      </c>
      <c r="D66" s="15" t="s">
        <v>140</v>
      </c>
      <c r="E66" s="59"/>
    </row>
    <row r="67" spans="2:5" ht="21.75" customHeight="1">
      <c r="B67" s="38" t="s">
        <v>62</v>
      </c>
      <c r="C67" s="36">
        <f>SUM(C54:C66)</f>
        <v>214803.03529815396</v>
      </c>
      <c r="D67" s="37"/>
      <c r="E67" s="60"/>
    </row>
    <row r="68" spans="2:5" ht="21.75" customHeight="1">
      <c r="B68" s="38" t="s">
        <v>63</v>
      </c>
      <c r="C68" s="37"/>
      <c r="D68" s="37"/>
      <c r="E68" s="60"/>
    </row>
    <row r="69" spans="2:5" ht="39.75" customHeight="1">
      <c r="B69" s="76" t="s">
        <v>64</v>
      </c>
      <c r="C69" s="17">
        <f>((15.59*86.9979)+(1.53*(5457.5+1497.4)))*12</f>
        <v>143967.53113199997</v>
      </c>
      <c r="D69" s="16" t="s">
        <v>145</v>
      </c>
      <c r="E69" s="64"/>
    </row>
    <row r="70" spans="2:5" ht="21.75" customHeight="1">
      <c r="B70" s="77" t="s">
        <v>65</v>
      </c>
      <c r="C70" s="17">
        <f>13.82*2268.5</f>
        <v>31350.670000000002</v>
      </c>
      <c r="D70" s="16" t="s">
        <v>112</v>
      </c>
      <c r="E70" s="59" t="s">
        <v>66</v>
      </c>
    </row>
    <row r="71" spans="2:5" ht="144" customHeight="1">
      <c r="B71" s="38" t="s">
        <v>67</v>
      </c>
      <c r="C71" s="36">
        <v>0</v>
      </c>
      <c r="D71" s="37"/>
      <c r="E71" s="56"/>
    </row>
    <row r="72" spans="2:5" ht="18.75" customHeight="1">
      <c r="B72" s="38" t="s">
        <v>68</v>
      </c>
      <c r="C72" s="36">
        <v>0</v>
      </c>
      <c r="D72" s="37"/>
      <c r="E72" s="56"/>
    </row>
    <row r="73" spans="2:5" ht="60.75" customHeight="1">
      <c r="B73" s="78" t="s">
        <v>69</v>
      </c>
      <c r="C73" s="17">
        <f>(606.04+235.22/3)*28793/1000</f>
        <v>19707.27287333333</v>
      </c>
      <c r="D73" s="16" t="s">
        <v>114</v>
      </c>
      <c r="E73" s="65" t="s">
        <v>113</v>
      </c>
    </row>
    <row r="74" spans="2:5" ht="16.5" customHeight="1">
      <c r="B74" s="38" t="s">
        <v>70</v>
      </c>
      <c r="C74" s="36">
        <v>0</v>
      </c>
      <c r="D74" s="37"/>
      <c r="E74" s="60"/>
    </row>
    <row r="75" spans="2:5" ht="29.25" customHeight="1">
      <c r="B75" s="38" t="s">
        <v>71</v>
      </c>
      <c r="C75" s="17">
        <f>(627.28*86.9979)+(627.28*86.9979/1.302)*0.25</f>
        <v>65050.54553688479</v>
      </c>
      <c r="D75" s="16" t="s">
        <v>115</v>
      </c>
      <c r="E75" s="59"/>
    </row>
    <row r="76" spans="2:5" ht="17.25" customHeight="1">
      <c r="B76" s="38" t="s">
        <v>72</v>
      </c>
      <c r="C76" s="36">
        <f>C69+C70+C71+C72+C73+C74+C75</f>
        <v>260076.01954221813</v>
      </c>
      <c r="D76" s="37"/>
      <c r="E76" s="60"/>
    </row>
    <row r="77" spans="2:5" ht="17.25" customHeight="1">
      <c r="B77" s="38" t="s">
        <v>73</v>
      </c>
      <c r="C77" s="37"/>
      <c r="D77" s="37"/>
      <c r="E77" s="56"/>
    </row>
    <row r="78" spans="2:5" ht="17.25" customHeight="1">
      <c r="B78" s="38" t="s">
        <v>74</v>
      </c>
      <c r="C78" s="37"/>
      <c r="D78" s="37"/>
      <c r="E78" s="60"/>
    </row>
    <row r="79" spans="2:5" ht="17.25" customHeight="1">
      <c r="B79" s="38" t="s">
        <v>75</v>
      </c>
      <c r="C79" s="37"/>
      <c r="D79" s="37"/>
      <c r="E79" s="55"/>
    </row>
    <row r="80" spans="2:5" ht="17.25" customHeight="1">
      <c r="B80" s="38" t="s">
        <v>76</v>
      </c>
      <c r="C80" s="37"/>
      <c r="D80" s="37"/>
      <c r="E80" s="55"/>
    </row>
    <row r="81" spans="2:5" ht="17.25" customHeight="1">
      <c r="B81" s="38" t="s">
        <v>77</v>
      </c>
      <c r="C81" s="37"/>
      <c r="D81" s="37"/>
      <c r="E81" s="55"/>
    </row>
    <row r="82" spans="2:5" ht="17.25" customHeight="1">
      <c r="B82" s="38" t="s">
        <v>78</v>
      </c>
      <c r="C82" s="37"/>
      <c r="D82" s="37"/>
      <c r="E82" s="55"/>
    </row>
    <row r="83" spans="2:5" ht="17.25" customHeight="1">
      <c r="B83" s="38" t="s">
        <v>79</v>
      </c>
      <c r="C83" s="37"/>
      <c r="D83" s="37"/>
      <c r="E83" s="55"/>
    </row>
    <row r="84" spans="2:5" ht="17.25" customHeight="1">
      <c r="B84" s="39" t="s">
        <v>80</v>
      </c>
      <c r="C84" s="54">
        <f>C78+C79+C80+C81+C82+C83</f>
        <v>0</v>
      </c>
      <c r="D84" s="37"/>
      <c r="E84" s="55"/>
    </row>
    <row r="85" spans="2:5" ht="20.25" customHeight="1">
      <c r="B85" s="38" t="s">
        <v>81</v>
      </c>
      <c r="C85" s="14">
        <f>2.679*(5457.5+1497.4)</f>
        <v>18632.177099999997</v>
      </c>
      <c r="D85" s="23" t="s">
        <v>138</v>
      </c>
      <c r="E85" s="59"/>
    </row>
    <row r="86" spans="2:5" ht="20.25" customHeight="1">
      <c r="B86" s="45" t="s">
        <v>82</v>
      </c>
      <c r="C86" s="46">
        <f>1.29*(5457.5+1497.4)</f>
        <v>8971.821</v>
      </c>
      <c r="D86" s="47" t="s">
        <v>139</v>
      </c>
      <c r="E86" s="55"/>
    </row>
    <row r="87" spans="2:5" ht="20.25" customHeight="1">
      <c r="B87" s="48" t="s">
        <v>83</v>
      </c>
      <c r="C87" s="14">
        <f>(C67+C76)*0.212</f>
        <v>100674.35962615887</v>
      </c>
      <c r="D87" s="23" t="s">
        <v>116</v>
      </c>
      <c r="E87" s="59"/>
    </row>
    <row r="88" spans="2:5" ht="42" customHeight="1">
      <c r="B88" s="48" t="s">
        <v>125</v>
      </c>
      <c r="C88" s="36">
        <f>(C67+C76+C84+C87)*1.03/(1-0.134*1.03)*0.134</f>
        <v>92157.45407627856</v>
      </c>
      <c r="D88" s="24"/>
      <c r="E88" s="55" t="s">
        <v>117</v>
      </c>
    </row>
    <row r="89" spans="2:5" ht="18.75" customHeight="1">
      <c r="B89" s="39" t="s">
        <v>118</v>
      </c>
      <c r="C89" s="68">
        <f>SUM(C85:C88)</f>
        <v>220435.8118024374</v>
      </c>
      <c r="D89" s="37"/>
      <c r="E89" s="60"/>
    </row>
    <row r="90" spans="2:5" ht="18.75" customHeight="1">
      <c r="B90" s="39" t="s">
        <v>84</v>
      </c>
      <c r="C90" s="57">
        <f>(C67+C76+C84+C89)*3%</f>
        <v>20859.445999284282</v>
      </c>
      <c r="D90" s="37"/>
      <c r="E90" s="60"/>
    </row>
    <row r="91" spans="2:5" ht="18.75" customHeight="1">
      <c r="B91" s="11" t="s">
        <v>45</v>
      </c>
      <c r="C91" s="58">
        <f>SUM(C67+C76+C84+C89+C90)</f>
        <v>716174.3126420937</v>
      </c>
      <c r="D91" s="12"/>
      <c r="E91" s="62"/>
    </row>
    <row r="92" spans="2:5" ht="18.75" customHeight="1">
      <c r="B92" s="11" t="s">
        <v>85</v>
      </c>
      <c r="C92" s="58">
        <f>C91*1.18</f>
        <v>845085.6889176706</v>
      </c>
      <c r="D92" s="12"/>
      <c r="E92" s="62"/>
    </row>
    <row r="93" spans="2:5" ht="18.75" customHeight="1">
      <c r="B93" s="11"/>
      <c r="C93" s="58">
        <f>C51-C92</f>
        <v>149431.71206632932</v>
      </c>
      <c r="D93" s="12"/>
      <c r="E93" s="62"/>
    </row>
    <row r="94" spans="2:5" ht="30.75" customHeight="1">
      <c r="B94" s="83" t="s">
        <v>149</v>
      </c>
      <c r="C94" s="84"/>
      <c r="D94" s="84"/>
      <c r="E94" s="84"/>
    </row>
    <row r="95" spans="2:4" ht="30.75" customHeight="1">
      <c r="B95" s="49" t="s">
        <v>122</v>
      </c>
      <c r="C95" s="50"/>
      <c r="D95" s="51"/>
    </row>
    <row r="96" spans="2:4" ht="30.75" customHeight="1">
      <c r="B96" s="81" t="s">
        <v>123</v>
      </c>
      <c r="C96" s="81"/>
      <c r="D96" s="81"/>
    </row>
    <row r="97" spans="2:4" ht="46.5" customHeight="1">
      <c r="B97" s="82" t="s">
        <v>148</v>
      </c>
      <c r="C97" s="82"/>
      <c r="D97" s="82"/>
    </row>
    <row r="98" spans="2:4" ht="15">
      <c r="B98" s="27"/>
      <c r="C98" s="28"/>
      <c r="D98" s="28"/>
    </row>
    <row r="99" spans="2:4" ht="15">
      <c r="B99" s="27"/>
      <c r="C99" s="28"/>
      <c r="D99" s="28"/>
    </row>
    <row r="100" spans="2:4" ht="15">
      <c r="B100" s="29"/>
      <c r="C100" s="26"/>
      <c r="D100" s="26"/>
    </row>
    <row r="101" spans="2:4" ht="15">
      <c r="B101" s="29"/>
      <c r="C101" s="26"/>
      <c r="D101" s="26"/>
    </row>
    <row r="102" spans="2:4" ht="18.75">
      <c r="B102" s="30" t="s">
        <v>86</v>
      </c>
      <c r="C102" s="31"/>
      <c r="D102" s="31" t="s">
        <v>124</v>
      </c>
    </row>
    <row r="104" spans="2:4" ht="15">
      <c r="B104" s="6"/>
      <c r="C104" s="7"/>
      <c r="D104" s="7"/>
    </row>
  </sheetData>
  <sheetProtection selectLockedCells="1" selectUnlockedCells="1"/>
  <mergeCells count="5">
    <mergeCell ref="B7:E7"/>
    <mergeCell ref="B8:D8"/>
    <mergeCell ref="B96:D96"/>
    <mergeCell ref="B97:D97"/>
    <mergeCell ref="B94:E94"/>
  </mergeCells>
  <printOptions/>
  <pageMargins left="0.32" right="0.55" top="0.56" bottom="0.7480314960629921" header="0.41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4"/>
  <sheetViews>
    <sheetView tabSelected="1" zoomScalePageLayoutView="0" workbookViewId="0" topLeftCell="A1">
      <selection activeCell="B94" sqref="B94:E94"/>
    </sheetView>
  </sheetViews>
  <sheetFormatPr defaultColWidth="11.57421875" defaultRowHeight="15"/>
  <cols>
    <col min="1" max="1" width="4.140625" style="0" customWidth="1"/>
    <col min="2" max="2" width="37.57421875" style="0" customWidth="1"/>
    <col min="3" max="3" width="13.7109375" style="109" customWidth="1"/>
    <col min="4" max="4" width="42.140625" style="0" customWidth="1"/>
    <col min="5" max="5" width="19.421875" style="0" customWidth="1"/>
    <col min="6" max="8" width="0" style="0" hidden="1" customWidth="1"/>
    <col min="9" max="9" width="11.57421875" style="0" customWidth="1"/>
    <col min="10" max="10" width="15.00390625" style="0" customWidth="1"/>
    <col min="11" max="11" width="25.28125" style="0" customWidth="1"/>
  </cols>
  <sheetData>
    <row r="1" spans="2:4" ht="15.75">
      <c r="B1" s="1"/>
      <c r="C1" s="94"/>
      <c r="D1" s="52" t="s">
        <v>0</v>
      </c>
    </row>
    <row r="2" spans="2:4" ht="15.75">
      <c r="B2" s="1"/>
      <c r="C2" s="94"/>
      <c r="D2" s="52" t="s">
        <v>1</v>
      </c>
    </row>
    <row r="3" spans="2:4" ht="15.75">
      <c r="B3" s="1"/>
      <c r="C3" s="94"/>
      <c r="D3" s="52" t="s">
        <v>2</v>
      </c>
    </row>
    <row r="4" spans="2:4" ht="15.75">
      <c r="B4" s="1"/>
      <c r="C4" s="94"/>
      <c r="D4" s="52"/>
    </row>
    <row r="5" spans="2:4" ht="15.75">
      <c r="B5" s="1"/>
      <c r="C5" s="94"/>
      <c r="D5" s="52" t="s">
        <v>119</v>
      </c>
    </row>
    <row r="6" spans="2:4" ht="15.75">
      <c r="B6" s="1"/>
      <c r="C6" s="94"/>
      <c r="D6" s="52"/>
    </row>
    <row r="7" spans="2:5" ht="42.75" customHeight="1">
      <c r="B7" s="79" t="s">
        <v>120</v>
      </c>
      <c r="C7" s="79"/>
      <c r="D7" s="79"/>
      <c r="E7" s="79"/>
    </row>
    <row r="8" spans="2:5" ht="78" customHeight="1">
      <c r="B8" s="80" t="s">
        <v>151</v>
      </c>
      <c r="C8" s="80"/>
      <c r="D8" s="80"/>
      <c r="E8" s="80"/>
    </row>
    <row r="9" spans="2:4" ht="18" customHeight="1">
      <c r="B9" s="2"/>
      <c r="C9" s="94"/>
      <c r="D9" s="1"/>
    </row>
    <row r="10" spans="2:4" ht="15">
      <c r="B10" s="1"/>
      <c r="C10" s="94"/>
      <c r="D10" s="1"/>
    </row>
    <row r="11" spans="2:4" ht="15">
      <c r="B11" s="1" t="s">
        <v>3</v>
      </c>
      <c r="C11" s="95">
        <v>5457.5</v>
      </c>
      <c r="D11" s="42" t="s">
        <v>4</v>
      </c>
    </row>
    <row r="12" spans="2:4" ht="15">
      <c r="B12" s="1" t="s">
        <v>5</v>
      </c>
      <c r="C12" s="96">
        <v>1497.4</v>
      </c>
      <c r="D12" s="44"/>
    </row>
    <row r="13" spans="2:4" ht="15">
      <c r="B13" s="3"/>
      <c r="C13" s="97"/>
      <c r="D13" s="4"/>
    </row>
    <row r="14" spans="2:8" ht="30.75" customHeight="1">
      <c r="B14" s="9" t="s">
        <v>6</v>
      </c>
      <c r="C14" s="58" t="s">
        <v>7</v>
      </c>
      <c r="D14" s="9" t="s">
        <v>8</v>
      </c>
      <c r="E14" s="53" t="s">
        <v>87</v>
      </c>
      <c r="F14" s="8" t="s">
        <v>9</v>
      </c>
      <c r="G14">
        <v>79</v>
      </c>
      <c r="H14">
        <v>13.05</v>
      </c>
    </row>
    <row r="15" spans="2:7" ht="18.75" customHeight="1">
      <c r="B15" s="69" t="s">
        <v>10</v>
      </c>
      <c r="C15" s="66">
        <f>5457.5*11.86*12</f>
        <v>776711.3999999999</v>
      </c>
      <c r="D15" s="13" t="s">
        <v>93</v>
      </c>
      <c r="E15" s="59" t="s">
        <v>88</v>
      </c>
      <c r="F15" t="s">
        <v>12</v>
      </c>
      <c r="G15">
        <v>230</v>
      </c>
    </row>
    <row r="16" spans="2:7" ht="63" customHeight="1">
      <c r="B16" s="70" t="s">
        <v>13</v>
      </c>
      <c r="C16" s="14">
        <f>(127.11*1.65/12*228*6)+(144.83*1.65/12*228*6)*1.18</f>
        <v>56055.56814</v>
      </c>
      <c r="D16" s="15" t="s">
        <v>147</v>
      </c>
      <c r="E16" s="59"/>
      <c r="F16" t="s">
        <v>15</v>
      </c>
      <c r="G16">
        <v>28793</v>
      </c>
    </row>
    <row r="17" spans="2:7" ht="19.5" customHeight="1">
      <c r="B17" s="38" t="s">
        <v>16</v>
      </c>
      <c r="C17" s="98">
        <f>C18+C20+C22+C25+C28+C31+C34+C37+C40</f>
        <v>210966.240984</v>
      </c>
      <c r="D17" s="37"/>
      <c r="E17" s="55" t="s">
        <v>11</v>
      </c>
      <c r="F17" t="s">
        <v>17</v>
      </c>
      <c r="G17">
        <v>695</v>
      </c>
    </row>
    <row r="18" spans="2:7" ht="28.5">
      <c r="B18" s="39" t="s">
        <v>129</v>
      </c>
      <c r="C18" s="98">
        <f>143.5*10.86*12</f>
        <v>18700.92</v>
      </c>
      <c r="D18" s="37"/>
      <c r="E18" s="55"/>
      <c r="F18" t="s">
        <v>18</v>
      </c>
      <c r="G18">
        <v>2268.5</v>
      </c>
    </row>
    <row r="19" spans="2:7" ht="15">
      <c r="B19" s="38" t="s">
        <v>19</v>
      </c>
      <c r="C19" s="98">
        <f>143.5*10.86*12</f>
        <v>18700.92</v>
      </c>
      <c r="D19" s="37" t="s">
        <v>101</v>
      </c>
      <c r="E19" s="55"/>
      <c r="F19" t="s">
        <v>20</v>
      </c>
      <c r="G19">
        <v>1989.14</v>
      </c>
    </row>
    <row r="20" spans="2:7" ht="15">
      <c r="B20" s="39" t="s">
        <v>130</v>
      </c>
      <c r="C20" s="98">
        <f>C21</f>
        <v>92214.432</v>
      </c>
      <c r="D20" s="37"/>
      <c r="E20" s="60"/>
      <c r="F20" t="s">
        <v>22</v>
      </c>
      <c r="G20">
        <v>15.59</v>
      </c>
    </row>
    <row r="21" spans="2:11" ht="15">
      <c r="B21" s="38" t="s">
        <v>19</v>
      </c>
      <c r="C21" s="98">
        <f>707.6*10.86*12</f>
        <v>92214.432</v>
      </c>
      <c r="D21" s="37" t="s">
        <v>102</v>
      </c>
      <c r="E21" s="55"/>
      <c r="F21" t="s">
        <v>23</v>
      </c>
      <c r="G21">
        <v>0</v>
      </c>
      <c r="K21" s="41"/>
    </row>
    <row r="22" spans="2:5" ht="28.5">
      <c r="B22" s="39" t="s">
        <v>131</v>
      </c>
      <c r="C22" s="98">
        <f>C23+C24</f>
        <v>9969.411251999998</v>
      </c>
      <c r="D22" s="37"/>
      <c r="E22" s="55"/>
    </row>
    <row r="23" spans="2:5" ht="15">
      <c r="B23" s="38" t="s">
        <v>19</v>
      </c>
      <c r="C23" s="98">
        <f>59.3*10.86*12</f>
        <v>7727.975999999999</v>
      </c>
      <c r="D23" s="37" t="s">
        <v>103</v>
      </c>
      <c r="E23" s="55"/>
    </row>
    <row r="24" spans="2:5" ht="30">
      <c r="B24" s="38" t="s">
        <v>21</v>
      </c>
      <c r="C24" s="99">
        <f>0.83*(178.32*1.18*6+203.11*1.18*6)</f>
        <v>2241.435252</v>
      </c>
      <c r="D24" s="20" t="s">
        <v>141</v>
      </c>
      <c r="E24" s="55"/>
    </row>
    <row r="25" spans="2:5" ht="15">
      <c r="B25" s="39" t="s">
        <v>132</v>
      </c>
      <c r="C25" s="98">
        <f>C26+C27</f>
        <v>27997.733052000003</v>
      </c>
      <c r="D25" s="37"/>
      <c r="E25" s="55"/>
    </row>
    <row r="26" spans="2:5" ht="15">
      <c r="B26" s="38" t="s">
        <v>19</v>
      </c>
      <c r="C26" s="98">
        <f>208*10.86*12</f>
        <v>27106.56</v>
      </c>
      <c r="D26" s="37" t="s">
        <v>104</v>
      </c>
      <c r="E26" s="55"/>
    </row>
    <row r="27" spans="2:5" ht="30">
      <c r="B27" s="38" t="s">
        <v>21</v>
      </c>
      <c r="C27" s="99">
        <f>0.33*(178.32*1.18*6+203.11*1.18*6)</f>
        <v>891.1730520000001</v>
      </c>
      <c r="D27" s="20" t="s">
        <v>142</v>
      </c>
      <c r="E27" s="55"/>
    </row>
    <row r="28" spans="2:5" ht="28.5">
      <c r="B28" s="39" t="s">
        <v>133</v>
      </c>
      <c r="C28" s="98">
        <f>C29+C30</f>
        <v>14304.146868</v>
      </c>
      <c r="D28" s="37"/>
      <c r="E28" s="55"/>
    </row>
    <row r="29" spans="2:5" ht="15">
      <c r="B29" s="38" t="s">
        <v>19</v>
      </c>
      <c r="C29" s="98">
        <f>79.3*10.86*12</f>
        <v>10334.376</v>
      </c>
      <c r="D29" s="37" t="s">
        <v>105</v>
      </c>
      <c r="E29" s="55"/>
    </row>
    <row r="30" spans="2:5" ht="30">
      <c r="B30" s="38" t="s">
        <v>21</v>
      </c>
      <c r="C30" s="99">
        <f>1.47*(178.32*1.18*6+203.11*1.18*6)</f>
        <v>3969.770868</v>
      </c>
      <c r="D30" s="20" t="s">
        <v>143</v>
      </c>
      <c r="E30" s="55"/>
    </row>
    <row r="31" spans="2:5" ht="28.5">
      <c r="B31" s="39" t="s">
        <v>134</v>
      </c>
      <c r="C31" s="98">
        <f>C32+C33</f>
        <v>16324.106867999999</v>
      </c>
      <c r="D31" s="37"/>
      <c r="E31" s="60"/>
    </row>
    <row r="32" spans="2:5" ht="15">
      <c r="B32" s="38" t="s">
        <v>19</v>
      </c>
      <c r="C32" s="98">
        <f>94.8*10.86*12</f>
        <v>12354.336</v>
      </c>
      <c r="D32" s="37" t="s">
        <v>106</v>
      </c>
      <c r="E32" s="60"/>
    </row>
    <row r="33" spans="2:5" ht="30">
      <c r="B33" s="40" t="s">
        <v>21</v>
      </c>
      <c r="C33" s="100">
        <f>1.47*(178.32*1.18*6+203.11*1.18*6)</f>
        <v>3969.770868</v>
      </c>
      <c r="D33" s="35" t="s">
        <v>143</v>
      </c>
      <c r="E33" s="61"/>
    </row>
    <row r="34" spans="2:5" ht="15">
      <c r="B34" s="39" t="s">
        <v>135</v>
      </c>
      <c r="C34" s="98">
        <f>C35+C36</f>
        <v>7628.357472</v>
      </c>
      <c r="D34" s="37"/>
      <c r="E34" s="60"/>
    </row>
    <row r="35" spans="2:5" ht="15">
      <c r="B35" s="38" t="s">
        <v>19</v>
      </c>
      <c r="C35" s="98">
        <f>40.3*10.86*12</f>
        <v>5251.896</v>
      </c>
      <c r="D35" s="37" t="s">
        <v>126</v>
      </c>
      <c r="E35" s="60"/>
    </row>
    <row r="36" spans="2:5" ht="30">
      <c r="B36" s="38" t="s">
        <v>21</v>
      </c>
      <c r="C36" s="98">
        <f>0.88*(178.32*1.18*6+203.11*1.18*6)</f>
        <v>2376.4614720000004</v>
      </c>
      <c r="D36" s="37" t="s">
        <v>144</v>
      </c>
      <c r="E36" s="60"/>
    </row>
    <row r="37" spans="2:5" ht="15">
      <c r="B37" s="39" t="s">
        <v>136</v>
      </c>
      <c r="C37" s="98">
        <f>C38+C39</f>
        <v>7667.453472000001</v>
      </c>
      <c r="D37" s="37"/>
      <c r="E37" s="60"/>
    </row>
    <row r="38" spans="2:5" ht="15">
      <c r="B38" s="38" t="s">
        <v>19</v>
      </c>
      <c r="C38" s="98">
        <f>40.6*10.86*12</f>
        <v>5290.992</v>
      </c>
      <c r="D38" s="37" t="s">
        <v>127</v>
      </c>
      <c r="E38" s="60"/>
    </row>
    <row r="39" spans="2:5" ht="30">
      <c r="B39" s="38" t="s">
        <v>21</v>
      </c>
      <c r="C39" s="98">
        <f>0.88*(178.32*1.18*6+203.11*1.18*6)</f>
        <v>2376.4614720000004</v>
      </c>
      <c r="D39" s="37" t="s">
        <v>144</v>
      </c>
      <c r="E39" s="60"/>
    </row>
    <row r="40" spans="2:5" ht="57">
      <c r="B40" s="39" t="s">
        <v>137</v>
      </c>
      <c r="C40" s="98">
        <f>124*10.86*12</f>
        <v>16159.679999999998</v>
      </c>
      <c r="D40" s="36"/>
      <c r="E40" s="60"/>
    </row>
    <row r="41" spans="2:5" ht="15">
      <c r="B41" s="38" t="s">
        <v>19</v>
      </c>
      <c r="C41" s="98">
        <f>124*10.86*12</f>
        <v>16159.679999999998</v>
      </c>
      <c r="D41" s="37" t="s">
        <v>128</v>
      </c>
      <c r="E41" s="60"/>
    </row>
    <row r="42" spans="2:7" ht="21" customHeight="1">
      <c r="B42" s="39" t="s">
        <v>24</v>
      </c>
      <c r="C42" s="57">
        <f>C17+C15</f>
        <v>987677.6409839999</v>
      </c>
      <c r="D42" s="54"/>
      <c r="E42" s="60"/>
      <c r="F42" t="s">
        <v>25</v>
      </c>
      <c r="G42">
        <v>627.28</v>
      </c>
    </row>
    <row r="43" spans="2:7" ht="30.75" customHeight="1">
      <c r="B43" s="10" t="s">
        <v>26</v>
      </c>
      <c r="C43" s="101">
        <f>C44+C45+C46+C47+C48+C49</f>
        <v>6839.76</v>
      </c>
      <c r="D43" s="12"/>
      <c r="E43" s="62"/>
      <c r="G43">
        <v>0.87</v>
      </c>
    </row>
    <row r="44" spans="2:7" ht="15.75" customHeight="1">
      <c r="B44" s="10" t="s">
        <v>27</v>
      </c>
      <c r="C44" s="17">
        <f>34.98*12</f>
        <v>419.76</v>
      </c>
      <c r="D44" s="16" t="s">
        <v>28</v>
      </c>
      <c r="E44" s="59" t="s">
        <v>88</v>
      </c>
      <c r="F44" s="5" t="s">
        <v>29</v>
      </c>
      <c r="G44">
        <v>0</v>
      </c>
    </row>
    <row r="45" spans="2:7" ht="15.75" customHeight="1">
      <c r="B45" s="10" t="s">
        <v>30</v>
      </c>
      <c r="C45" s="17">
        <f>137.5*12</f>
        <v>1650</v>
      </c>
      <c r="D45" s="16" t="s">
        <v>89</v>
      </c>
      <c r="E45" s="59" t="s">
        <v>88</v>
      </c>
      <c r="F45" s="5" t="s">
        <v>32</v>
      </c>
      <c r="G45">
        <v>0</v>
      </c>
    </row>
    <row r="46" spans="2:7" ht="15.75" customHeight="1">
      <c r="B46" s="10" t="s">
        <v>33</v>
      </c>
      <c r="C46" s="17">
        <f>123.75*12</f>
        <v>1485</v>
      </c>
      <c r="D46" s="16" t="s">
        <v>34</v>
      </c>
      <c r="E46" s="59" t="s">
        <v>88</v>
      </c>
      <c r="F46" t="s">
        <v>35</v>
      </c>
      <c r="G46">
        <v>0</v>
      </c>
    </row>
    <row r="47" spans="2:7" ht="15.75" customHeight="1">
      <c r="B47" s="10" t="s">
        <v>36</v>
      </c>
      <c r="C47" s="17">
        <f>150*12</f>
        <v>1800</v>
      </c>
      <c r="D47" s="16" t="s">
        <v>37</v>
      </c>
      <c r="E47" s="59" t="s">
        <v>88</v>
      </c>
      <c r="F47" t="s">
        <v>38</v>
      </c>
      <c r="G47">
        <v>0</v>
      </c>
    </row>
    <row r="48" spans="2:7" ht="15.75" customHeight="1">
      <c r="B48" s="10" t="s">
        <v>39</v>
      </c>
      <c r="C48" s="17">
        <f>123.75*12</f>
        <v>1485</v>
      </c>
      <c r="D48" s="16" t="s">
        <v>34</v>
      </c>
      <c r="E48" s="59" t="s">
        <v>88</v>
      </c>
      <c r="F48" t="s">
        <v>40</v>
      </c>
      <c r="G48">
        <v>0</v>
      </c>
    </row>
    <row r="49" spans="2:7" ht="15.75" customHeight="1" hidden="1">
      <c r="B49" s="32" t="s">
        <v>41</v>
      </c>
      <c r="C49" s="102">
        <f>0*12</f>
        <v>0</v>
      </c>
      <c r="D49" s="33" t="s">
        <v>31</v>
      </c>
      <c r="E49" s="63"/>
      <c r="F49" t="s">
        <v>42</v>
      </c>
      <c r="G49">
        <v>0</v>
      </c>
    </row>
    <row r="50" spans="2:7" ht="15.75" customHeight="1" hidden="1">
      <c r="B50" s="10" t="s">
        <v>43</v>
      </c>
      <c r="C50" s="101">
        <v>0</v>
      </c>
      <c r="D50" s="12"/>
      <c r="E50" s="62"/>
      <c r="F50" t="s">
        <v>44</v>
      </c>
      <c r="G50">
        <v>0</v>
      </c>
    </row>
    <row r="51" spans="2:8" ht="15.75" customHeight="1">
      <c r="B51" s="10" t="s">
        <v>45</v>
      </c>
      <c r="C51" s="58">
        <f>C42+C43+C50</f>
        <v>994517.400984</v>
      </c>
      <c r="D51" s="12"/>
      <c r="E51" s="62"/>
      <c r="F51" t="s">
        <v>46</v>
      </c>
      <c r="G51">
        <v>0</v>
      </c>
      <c r="H51">
        <v>0</v>
      </c>
    </row>
    <row r="52" spans="2:7" ht="30.75" customHeight="1">
      <c r="B52" s="11" t="s">
        <v>47</v>
      </c>
      <c r="C52" s="58" t="s">
        <v>7</v>
      </c>
      <c r="D52" s="9" t="s">
        <v>48</v>
      </c>
      <c r="E52" s="62"/>
      <c r="F52" t="s">
        <v>49</v>
      </c>
      <c r="G52">
        <v>0</v>
      </c>
    </row>
    <row r="53" spans="2:5" ht="21.75" customHeight="1">
      <c r="B53" s="10" t="s">
        <v>50</v>
      </c>
      <c r="C53" s="101"/>
      <c r="D53" s="12"/>
      <c r="E53" s="62"/>
    </row>
    <row r="54" spans="2:11" ht="44.25" customHeight="1">
      <c r="B54" s="71" t="s">
        <v>51</v>
      </c>
      <c r="C54" s="18">
        <f>(1.27*((3221+200)*1.15*1.5*1.083*1.302)+0.084*2701.89)*12</f>
        <v>129537.32409815399</v>
      </c>
      <c r="D54" s="19" t="s">
        <v>150</v>
      </c>
      <c r="E54" s="59" t="s">
        <v>90</v>
      </c>
      <c r="J54" s="18">
        <f>(1.02*((3221+200)*1.15*1.5*1.083*1.302)+0.084*1989.14)*12</f>
        <v>103855.521905604</v>
      </c>
      <c r="K54" s="19" t="s">
        <v>146</v>
      </c>
    </row>
    <row r="55" spans="2:5" s="89" customFormat="1" ht="35.25" customHeight="1">
      <c r="B55" s="85" t="s">
        <v>52</v>
      </c>
      <c r="C55" s="86">
        <f>6604.24*8</f>
        <v>52833.92</v>
      </c>
      <c r="D55" s="87" t="s">
        <v>153</v>
      </c>
      <c r="E55" s="88" t="s">
        <v>152</v>
      </c>
    </row>
    <row r="56" spans="2:5" ht="33.75" customHeight="1">
      <c r="B56" s="71" t="s">
        <v>53</v>
      </c>
      <c r="C56" s="18">
        <f>((0*8184.66)+0*8.74724)*12</f>
        <v>0</v>
      </c>
      <c r="D56" s="19" t="s">
        <v>92</v>
      </c>
      <c r="E56" s="59"/>
    </row>
    <row r="57" spans="2:5" ht="33" customHeight="1">
      <c r="B57" s="71" t="s">
        <v>54</v>
      </c>
      <c r="C57" s="17">
        <f>(256.74*0.02*228*6)+(270.7*0.02*228*6)</f>
        <v>14430.758399999999</v>
      </c>
      <c r="D57" s="16" t="s">
        <v>94</v>
      </c>
      <c r="E57" s="59"/>
    </row>
    <row r="58" spans="2:5" ht="21" customHeight="1">
      <c r="B58" s="71" t="s">
        <v>95</v>
      </c>
      <c r="C58" s="17">
        <f>(16.86*78*2)</f>
        <v>2630.16</v>
      </c>
      <c r="D58" s="20" t="s">
        <v>96</v>
      </c>
      <c r="E58" s="59"/>
    </row>
    <row r="59" spans="2:5" ht="33.75" customHeight="1" hidden="1">
      <c r="B59" s="71" t="s">
        <v>55</v>
      </c>
      <c r="C59" s="17">
        <f>(4*51.98*0)</f>
        <v>0</v>
      </c>
      <c r="D59" s="20" t="s">
        <v>97</v>
      </c>
      <c r="E59" s="59"/>
    </row>
    <row r="60" spans="2:5" ht="45.75" customHeight="1">
      <c r="B60" s="71" t="s">
        <v>56</v>
      </c>
      <c r="C60" s="17">
        <f>((6*0.24*695)+(6*0.25*695))</f>
        <v>2043.3</v>
      </c>
      <c r="D60" s="20" t="s">
        <v>99</v>
      </c>
      <c r="E60" s="59" t="s">
        <v>88</v>
      </c>
    </row>
    <row r="61" spans="2:5" ht="45.75" customHeight="1">
      <c r="B61" s="72" t="s">
        <v>57</v>
      </c>
      <c r="C61" s="17">
        <f>(2*0.56*695)+(2*0.59*695)</f>
        <v>1598.5</v>
      </c>
      <c r="D61" s="20" t="s">
        <v>100</v>
      </c>
      <c r="E61" s="59" t="s">
        <v>98</v>
      </c>
    </row>
    <row r="62" spans="2:5" ht="31.5" customHeight="1" hidden="1">
      <c r="B62" s="73" t="s">
        <v>107</v>
      </c>
      <c r="C62" s="21">
        <f>0*12/1.18</f>
        <v>0</v>
      </c>
      <c r="D62" s="22" t="s">
        <v>110</v>
      </c>
      <c r="E62" s="59" t="s">
        <v>88</v>
      </c>
    </row>
    <row r="63" spans="2:5" ht="31.5" customHeight="1" hidden="1">
      <c r="B63" s="74" t="s">
        <v>58</v>
      </c>
      <c r="C63" s="21">
        <f>0/1.18*12</f>
        <v>0</v>
      </c>
      <c r="D63" s="22" t="s">
        <v>108</v>
      </c>
      <c r="E63" s="59"/>
    </row>
    <row r="64" spans="2:5" ht="21.75" customHeight="1" hidden="1">
      <c r="B64" s="74" t="s">
        <v>59</v>
      </c>
      <c r="C64" s="21">
        <f>0*0*12</f>
        <v>0</v>
      </c>
      <c r="D64" s="22" t="s">
        <v>109</v>
      </c>
      <c r="E64" s="59"/>
    </row>
    <row r="65" spans="2:5" ht="48.75" customHeight="1">
      <c r="B65" s="75" t="s">
        <v>60</v>
      </c>
      <c r="C65" s="14">
        <f>(127.11*1.65/12*228*6)+(144.83*1.65/12*228*6)</f>
        <v>51151.914000000004</v>
      </c>
      <c r="D65" s="15" t="s">
        <v>111</v>
      </c>
      <c r="E65" s="59" t="s">
        <v>14</v>
      </c>
    </row>
    <row r="66" spans="2:5" ht="21" customHeight="1">
      <c r="B66" s="75" t="s">
        <v>61</v>
      </c>
      <c r="C66" s="67">
        <f>5.86*(178.32*6+203.11*6)</f>
        <v>13411.078800000001</v>
      </c>
      <c r="D66" s="15" t="s">
        <v>140</v>
      </c>
      <c r="E66" s="59"/>
    </row>
    <row r="67" spans="2:5" ht="21.75" customHeight="1">
      <c r="B67" s="38" t="s">
        <v>62</v>
      </c>
      <c r="C67" s="98">
        <f>SUM(C54:C66)</f>
        <v>267636.955298154</v>
      </c>
      <c r="D67" s="37"/>
      <c r="E67" s="60"/>
    </row>
    <row r="68" spans="2:5" ht="21.75" customHeight="1">
      <c r="B68" s="38" t="s">
        <v>63</v>
      </c>
      <c r="C68" s="98"/>
      <c r="D68" s="37"/>
      <c r="E68" s="60"/>
    </row>
    <row r="69" spans="2:5" ht="39.75" customHeight="1">
      <c r="B69" s="76" t="s">
        <v>64</v>
      </c>
      <c r="C69" s="17">
        <f>((15.59*86.9979)+(1.53*(5457.5+1497.4)))*12</f>
        <v>143967.53113199997</v>
      </c>
      <c r="D69" s="16" t="s">
        <v>145</v>
      </c>
      <c r="E69" s="64"/>
    </row>
    <row r="70" spans="2:5" ht="21.75" customHeight="1">
      <c r="B70" s="77" t="s">
        <v>65</v>
      </c>
      <c r="C70" s="17">
        <f>13.82*2268.5</f>
        <v>31350.670000000002</v>
      </c>
      <c r="D70" s="16" t="s">
        <v>112</v>
      </c>
      <c r="E70" s="59" t="s">
        <v>66</v>
      </c>
    </row>
    <row r="71" spans="2:5" ht="144" customHeight="1">
      <c r="B71" s="38" t="s">
        <v>67</v>
      </c>
      <c r="C71" s="98">
        <v>0</v>
      </c>
      <c r="D71" s="37"/>
      <c r="E71" s="56"/>
    </row>
    <row r="72" spans="2:5" ht="18.75" customHeight="1">
      <c r="B72" s="38" t="s">
        <v>68</v>
      </c>
      <c r="C72" s="98">
        <v>0</v>
      </c>
      <c r="D72" s="37"/>
      <c r="E72" s="56"/>
    </row>
    <row r="73" spans="2:5" ht="60.75" customHeight="1">
      <c r="B73" s="78" t="s">
        <v>69</v>
      </c>
      <c r="C73" s="17">
        <f>(606.04+235.22/3)*28793/1000</f>
        <v>19707.27287333333</v>
      </c>
      <c r="D73" s="16" t="s">
        <v>114</v>
      </c>
      <c r="E73" s="65" t="s">
        <v>113</v>
      </c>
    </row>
    <row r="74" spans="2:5" ht="16.5" customHeight="1">
      <c r="B74" s="38" t="s">
        <v>70</v>
      </c>
      <c r="C74" s="98">
        <v>0</v>
      </c>
      <c r="D74" s="37"/>
      <c r="E74" s="60"/>
    </row>
    <row r="75" spans="2:5" ht="29.25" customHeight="1">
      <c r="B75" s="38" t="s">
        <v>71</v>
      </c>
      <c r="C75" s="17">
        <f>(627.28*86.9979)+(627.28*86.9979/1.302)*0.25</f>
        <v>65050.54553688479</v>
      </c>
      <c r="D75" s="16" t="s">
        <v>115</v>
      </c>
      <c r="E75" s="59"/>
    </row>
    <row r="76" spans="2:5" ht="17.25" customHeight="1">
      <c r="B76" s="38" t="s">
        <v>72</v>
      </c>
      <c r="C76" s="98">
        <f>C69+C70+C71+C72+C73+C74+C75</f>
        <v>260076.01954221813</v>
      </c>
      <c r="D76" s="37"/>
      <c r="E76" s="60"/>
    </row>
    <row r="77" spans="2:5" ht="17.25" customHeight="1">
      <c r="B77" s="38" t="s">
        <v>73</v>
      </c>
      <c r="C77" s="98">
        <f>SUM(C78:C83)</f>
        <v>236506.11000000002</v>
      </c>
      <c r="D77" s="37"/>
      <c r="E77" s="56"/>
    </row>
    <row r="78" spans="2:5" s="89" customFormat="1" ht="17.25" customHeight="1">
      <c r="B78" s="90" t="s">
        <v>74</v>
      </c>
      <c r="C78" s="103">
        <v>186395.51</v>
      </c>
      <c r="D78" s="91"/>
      <c r="E78" s="92"/>
    </row>
    <row r="79" spans="2:5" s="89" customFormat="1" ht="17.25" customHeight="1">
      <c r="B79" s="90" t="s">
        <v>75</v>
      </c>
      <c r="C79" s="103">
        <v>50110.6</v>
      </c>
      <c r="D79" s="91"/>
      <c r="E79" s="93"/>
    </row>
    <row r="80" spans="2:5" ht="17.25" customHeight="1" hidden="1">
      <c r="B80" s="38" t="s">
        <v>76</v>
      </c>
      <c r="C80" s="98"/>
      <c r="D80" s="37"/>
      <c r="E80" s="55"/>
    </row>
    <row r="81" spans="2:5" ht="17.25" customHeight="1" hidden="1">
      <c r="B81" s="38" t="s">
        <v>77</v>
      </c>
      <c r="C81" s="98"/>
      <c r="D81" s="37"/>
      <c r="E81" s="55"/>
    </row>
    <row r="82" spans="2:5" ht="17.25" customHeight="1" hidden="1">
      <c r="B82" s="38" t="s">
        <v>78</v>
      </c>
      <c r="C82" s="98"/>
      <c r="D82" s="37"/>
      <c r="E82" s="55"/>
    </row>
    <row r="83" spans="2:5" s="89" customFormat="1" ht="17.25" customHeight="1">
      <c r="B83" s="90" t="s">
        <v>79</v>
      </c>
      <c r="C83" s="103"/>
      <c r="D83" s="91"/>
      <c r="E83" s="93"/>
    </row>
    <row r="84" spans="2:5" ht="17.25" customHeight="1">
      <c r="B84" s="39" t="s">
        <v>80</v>
      </c>
      <c r="C84" s="57">
        <f>C78+C79+C80+C81+C82+C83</f>
        <v>236506.11000000002</v>
      </c>
      <c r="D84" s="37"/>
      <c r="E84" s="55"/>
    </row>
    <row r="85" spans="2:5" ht="20.25" customHeight="1">
      <c r="B85" s="38" t="s">
        <v>81</v>
      </c>
      <c r="C85" s="14">
        <f>2.679*(5457.5+1497.4)</f>
        <v>18632.177099999997</v>
      </c>
      <c r="D85" s="23" t="s">
        <v>138</v>
      </c>
      <c r="E85" s="59"/>
    </row>
    <row r="86" spans="2:5" ht="20.25" customHeight="1">
      <c r="B86" s="45" t="s">
        <v>82</v>
      </c>
      <c r="C86" s="14">
        <f>1.29*(5457.5+1497.4)</f>
        <v>8971.821</v>
      </c>
      <c r="D86" s="47" t="s">
        <v>139</v>
      </c>
      <c r="E86" s="55"/>
    </row>
    <row r="87" spans="2:5" ht="20.25" customHeight="1">
      <c r="B87" s="48" t="s">
        <v>83</v>
      </c>
      <c r="C87" s="14">
        <f>(C67+C76)*0.212</f>
        <v>111875.15066615888</v>
      </c>
      <c r="D87" s="23" t="s">
        <v>116</v>
      </c>
      <c r="E87" s="59"/>
    </row>
    <row r="88" spans="2:5" ht="42" customHeight="1">
      <c r="B88" s="48" t="s">
        <v>125</v>
      </c>
      <c r="C88" s="98">
        <f>(C67+C76+C84+C87)*1.03/(1-0.134*1.03)*0.134</f>
        <v>140279.96749879513</v>
      </c>
      <c r="D88" s="24"/>
      <c r="E88" s="55" t="s">
        <v>117</v>
      </c>
    </row>
    <row r="89" spans="2:5" ht="18.75" customHeight="1">
      <c r="B89" s="39" t="s">
        <v>118</v>
      </c>
      <c r="C89" s="68">
        <f>SUM(C85:C88)</f>
        <v>279759.116264954</v>
      </c>
      <c r="D89" s="37"/>
      <c r="E89" s="60"/>
    </row>
    <row r="90" spans="2:5" ht="18.75" customHeight="1">
      <c r="B90" s="39" t="s">
        <v>84</v>
      </c>
      <c r="C90" s="57">
        <f>(C67+C76+C84+C89)*3%</f>
        <v>31319.34603315978</v>
      </c>
      <c r="D90" s="37"/>
      <c r="E90" s="60"/>
    </row>
    <row r="91" spans="2:5" ht="18.75" customHeight="1">
      <c r="B91" s="11" t="s">
        <v>45</v>
      </c>
      <c r="C91" s="58">
        <f>SUM(C67+C76+C84+C89+C90)</f>
        <v>1075297.5471384858</v>
      </c>
      <c r="D91" s="12"/>
      <c r="E91" s="62"/>
    </row>
    <row r="92" spans="2:5" ht="18.75" customHeight="1">
      <c r="B92" s="11" t="s">
        <v>85</v>
      </c>
      <c r="C92" s="58">
        <f>C91*1.18</f>
        <v>1268851.105623413</v>
      </c>
      <c r="D92" s="12"/>
      <c r="E92" s="62"/>
    </row>
    <row r="93" spans="2:5" ht="18.75" customHeight="1">
      <c r="B93" s="11"/>
      <c r="C93" s="58">
        <f>C51-C92</f>
        <v>-274333.70463941316</v>
      </c>
      <c r="D93" s="12"/>
      <c r="E93" s="62"/>
    </row>
    <row r="94" spans="2:5" ht="30.75" customHeight="1">
      <c r="B94" s="83" t="s">
        <v>149</v>
      </c>
      <c r="C94" s="84"/>
      <c r="D94" s="84"/>
      <c r="E94" s="84"/>
    </row>
    <row r="95" spans="2:4" ht="30.75" customHeight="1">
      <c r="B95" s="49" t="s">
        <v>122</v>
      </c>
      <c r="C95" s="104"/>
      <c r="D95" s="51"/>
    </row>
    <row r="96" spans="2:4" ht="30.75" customHeight="1">
      <c r="B96" s="81" t="s">
        <v>123</v>
      </c>
      <c r="C96" s="81"/>
      <c r="D96" s="81"/>
    </row>
    <row r="97" spans="2:4" ht="46.5" customHeight="1">
      <c r="B97" s="82" t="s">
        <v>148</v>
      </c>
      <c r="C97" s="82"/>
      <c r="D97" s="82"/>
    </row>
    <row r="98" spans="2:4" ht="15">
      <c r="B98" s="27"/>
      <c r="C98" s="105"/>
      <c r="D98" s="28"/>
    </row>
    <row r="99" spans="2:4" ht="15">
      <c r="B99" s="27"/>
      <c r="C99" s="105"/>
      <c r="D99" s="28"/>
    </row>
    <row r="100" spans="2:4" ht="15">
      <c r="B100" s="29"/>
      <c r="C100" s="106"/>
      <c r="D100" s="26"/>
    </row>
    <row r="101" spans="2:4" ht="15">
      <c r="B101" s="29"/>
      <c r="C101" s="106"/>
      <c r="D101" s="26"/>
    </row>
    <row r="102" spans="2:4" ht="18.75">
      <c r="B102" s="30" t="s">
        <v>86</v>
      </c>
      <c r="C102" s="107"/>
      <c r="D102" s="31" t="s">
        <v>124</v>
      </c>
    </row>
    <row r="104" spans="2:4" ht="15">
      <c r="B104" s="6"/>
      <c r="C104" s="108"/>
      <c r="D104" s="7"/>
    </row>
  </sheetData>
  <sheetProtection selectLockedCells="1" selectUnlockedCells="1"/>
  <mergeCells count="5">
    <mergeCell ref="B7:E7"/>
    <mergeCell ref="B94:E94"/>
    <mergeCell ref="B96:D96"/>
    <mergeCell ref="B97:D97"/>
    <mergeCell ref="B8:E8"/>
  </mergeCells>
  <printOptions/>
  <pageMargins left="0.32" right="0.55" top="0.56" bottom="0.7480314960629921" header="0.41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2015-03-05T08:20:39Z</cp:lastPrinted>
  <dcterms:modified xsi:type="dcterms:W3CDTF">2015-06-29T09:13:54Z</dcterms:modified>
  <cp:category/>
  <cp:version/>
  <cp:contentType/>
  <cp:contentStatus/>
</cp:coreProperties>
</file>