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Космонавтов, 14" sheetId="1" r:id="rId1"/>
  </sheets>
  <definedNames/>
  <calcPr fullCalcOnLoad="1"/>
</workbook>
</file>

<file path=xl/sharedStrings.xml><?xml version="1.0" encoding="utf-8"?>
<sst xmlns="http://schemas.openxmlformats.org/spreadsheetml/2006/main" count="201" uniqueCount="164">
  <si>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</si>
  <si>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</si>
  <si>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</si>
  <si>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</si>
  <si>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</si>
  <si>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14,  ул. Космонавтов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</si>
  <si>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</si>
  <si>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</si>
  <si>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</si>
  <si>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</si>
  <si>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</si>
  <si>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</si>
  <si>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</si>
  <si>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</si>
  <si>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</si>
  <si>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3264,5кв.м.*13,05руб.*12 мес.</t>
  </si>
  <si>
    <t>1 раз в мес.</t>
  </si>
  <si>
    <t>к-во польз. Усл.</t>
  </si>
  <si>
    <t>в т. ч. вывоз мусора (население)</t>
  </si>
  <si>
    <t>((113,78руб./чел.в мес.*131чел.*6мес.*1,65/12)+(127,20 руб./чел.в мес.*131чел.*6мес.*1,65/12))*1,18</t>
  </si>
  <si>
    <t>Объем</t>
  </si>
  <si>
    <t>2. Начисление по нежилым помещениям</t>
  </si>
  <si>
    <t>Пл. подвала</t>
  </si>
  <si>
    <t>ООО "Форест" (449,4 кв.м)</t>
  </si>
  <si>
    <t>Пл. кровли</t>
  </si>
  <si>
    <t>Тех.обслуживание</t>
  </si>
  <si>
    <t>449,4кв.м.*12,05руб.*12мес.</t>
  </si>
  <si>
    <t>Пл. асфальта</t>
  </si>
  <si>
    <t>Вывоз мусора</t>
  </si>
  <si>
    <t>0куб.м.*176,76руб.*1,18*12мес.</t>
  </si>
  <si>
    <t>К-во л/сч</t>
  </si>
  <si>
    <t>Вахитова Лира Салихзяновна (76,2 кв.м)</t>
  </si>
  <si>
    <t>Тр. На профосмотр</t>
  </si>
  <si>
    <t>76,2кв.м.*12,05руб.*12мес.</t>
  </si>
  <si>
    <t>к-во уб.л/кл</t>
  </si>
  <si>
    <t>1,7куб.м.*176,76руб.*1,18*12мес.</t>
  </si>
  <si>
    <t>к-во дворников</t>
  </si>
  <si>
    <t>ООО ФФ "Илья" (55,7 кв.м)</t>
  </si>
  <si>
    <t>55,7кв.м.*12,05руб.*12мес.</t>
  </si>
  <si>
    <t>4,2куб.м.*176,76руб.*1,18*12мес.</t>
  </si>
  <si>
    <t>ООО "Уфимский ломбард" (13,6 кв.м)</t>
  </si>
  <si>
    <t>13,6кв.м.*12,05руб.*12мес.</t>
  </si>
  <si>
    <t>0,03куб.м.*176,76руб.*1,18*12мес.</t>
  </si>
  <si>
    <t>ИП Афанасьев Антон Владимирович( 98,8 кв.м)</t>
  </si>
  <si>
    <t>98,8кв.м.*12,05руб.*12мес.</t>
  </si>
  <si>
    <t>0,75куб.м.*176,76руб.*1,18*12мес.</t>
  </si>
  <si>
    <t>ООО "ОЖХ Орджоникидзевского района" (73,7 кв.м)</t>
  </si>
  <si>
    <t>73,7кв.м.*12,05руб.*12мес.</t>
  </si>
  <si>
    <t>0,22куб.м.*176,76руб.*1,18*12мес.</t>
  </si>
  <si>
    <t>Нигматуллин Айрат Альтафович(77,1 кв.м)</t>
  </si>
  <si>
    <t>77,1кв.м.*12,05руб.*12мес.</t>
  </si>
  <si>
    <t>2,72куб.м.*176,76руб.*1,18*12мес.</t>
  </si>
  <si>
    <t>МУП Управление электротранспорта г. Уфы (33,6 кв.м)</t>
  </si>
  <si>
    <t>33,6кв.м.*12,05руб.*12мес.</t>
  </si>
  <si>
    <t>0,07куб.м.*176,76руб.*1,18*12мес.</t>
  </si>
  <si>
    <t>ООО "Активная среда" (124,4 кв.м)</t>
  </si>
  <si>
    <t>124,4кв.м.*12,05руб.*12мес.</t>
  </si>
  <si>
    <t>0,33куб.м.*176,76руб.*1,18*12мес.</t>
  </si>
  <si>
    <t>ООО Производственное предприятие "Спецремсервис" (46,3 кв.м)</t>
  </si>
  <si>
    <t>46,3кв.м.*12,05руб.*12мес.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</si>
  <si>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</si>
  <si>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</si>
  <si>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</si>
  <si>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</si>
  <si>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</si>
  <si>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</si>
  <si>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</si>
  <si>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</si>
  <si>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</si>
  <si>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</si>
  <si>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</si>
  <si>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</si>
  <si>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</si>
  <si>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</si>
  <si>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</si>
  <si>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</si>
  <si>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</si>
  <si>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</si>
  <si>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</si>
  <si>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</si>
  <si>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</si>
  <si>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</si>
  <si>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</si>
  <si>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</si>
  <si>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</si>
  <si>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</si>
  <si>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</si>
  <si>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(0,88чел.*((3059+200)*1,15*1,5*1,083*1,302)+0,053руб./кв.м.асф.покр.*2296,1кв.м.)*12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</si>
  <si>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</si>
  <si>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</si>
  <si>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</si>
  <si>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</si>
  <si>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</si>
  <si>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</si>
  <si>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</si>
  <si>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(266,83руб./куб.м.*0,02куб.м.*131чел.)*12</t>
  </si>
  <si>
    <t>по графику</t>
  </si>
  <si>
    <t>-очистка вентканалов</t>
  </si>
  <si>
    <t>(16,21руб.*43вентк.)+(17,07руб.*43вентк.)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</si>
  <si>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</si>
  <si>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</si>
  <si>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</si>
  <si>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</si>
  <si>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</si>
  <si>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руб./мес.*531,4кв.м.)+(6раз в год*0,22руб.в мес.*531,4кв.м.)</t>
  </si>
  <si>
    <t>.-дезинсекция</t>
  </si>
  <si>
    <t>(2 раза в год*0,62руб./мес.*531,4кв.м.)+(2раза в год*0,65руб./мес.*531,4кв.м.)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</si>
  <si>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</si>
  <si>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</si>
  <si>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</si>
  <si>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</si>
  <si>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</si>
  <si>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.-комплексное обслуживание лифтов</t>
  </si>
  <si>
    <t>(4926,77руб./мес.*12 мес.*2 лифта)</t>
  </si>
  <si>
    <t>.-освидетельствование лифтов</t>
  </si>
  <si>
    <t>4190 руб./год*2л./1,18</t>
  </si>
  <si>
    <t>1 раз в год</t>
  </si>
  <si>
    <t>.-вывоз мусора (население)САХ</t>
  </si>
  <si>
    <t>((113,78руб./чел.в мес.*131чел.*6мес.*1,65/12)+(127,20 руб./чел.в мес.*131чел.*6мес.*1,65/12))</t>
  </si>
  <si>
    <t>.-вывоз мусора (арендаторы)</t>
  </si>
  <si>
    <t>10,02куб.м.*176,76руб.*12мес.</t>
  </si>
  <si>
    <t>Всего по п.1:</t>
  </si>
  <si>
    <t>2.Техническая эксплуатация</t>
  </si>
  <si>
    <t>.-профосмотры:в т.ч.сезонные осмотры</t>
  </si>
  <si>
    <t>(14,32ч/час*82,67руб./час.+0,518руб./м.кв.*(3264,5+1048,8кв.м.)*12мес.</t>
  </si>
  <si>
    <t>-очистка кровли от снега</t>
  </si>
  <si>
    <t>14,86руб./кв.м.*1339кв.м.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</si>
  <si>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</si>
  <si>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</si>
  <si>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</si>
  <si>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</si>
  <si>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(560,69руб./куб.м.+208,49руб./куб.м./3)*21147/1000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</si>
  <si>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</si>
  <si>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</si>
  <si>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</si>
  <si>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(363,3ч/час*82,67руб./час)+(363,3ч/час*82,67руб./час/1,302)*25%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</si>
  <si>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</si>
  <si>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</si>
  <si>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</si>
  <si>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</si>
  <si>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</si>
  <si>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</si>
  <si>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</si>
  <si>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</si>
  <si>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</si>
  <si>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</si>
  <si>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руб./кв.м.*(3264,5+1048,8)кв.м.</t>
  </si>
  <si>
    <t>5.ОДС</t>
  </si>
  <si>
    <t>1,28руб./кв.м*(3264,5+1048,8)кв.м.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</si>
  <si>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</si>
  <si>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</si>
  <si>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</si>
  <si>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0,81руб./кв.м.*3264,5кв.м.*12мес.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</si>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</sst>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39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3264.5</v>
      </c>
      <c r="C11" s="6" t="s">
        <v>7</v>
      </c>
    </row>
    <row r="12" spans="1:3" ht="12.75">
      <c r="A12" s="5" t="s">
        <v>8</v>
      </c>
      <c r="B12" s="6">
        <v>1048.8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43</v>
      </c>
      <c r="G13">
        <v>13.05</v>
      </c>
    </row>
    <row r="14" spans="1:6" ht="24" customHeight="1">
      <c r="A14" s="10" t="s">
        <v>14</v>
      </c>
      <c r="B14" s="11">
        <f>B11*G13*12</f>
        <v>511220.70000000007</v>
      </c>
      <c r="C14" s="10" t="s">
        <v>15</v>
      </c>
      <c r="D14" s="12" t="s">
        <v>16</v>
      </c>
      <c r="E14" t="s">
        <v>17</v>
      </c>
      <c r="F14">
        <v>131</v>
      </c>
    </row>
    <row r="15" spans="1:6" ht="66" customHeight="1">
      <c r="A15" s="10" t="s">
        <v>18</v>
      </c>
      <c r="B15" s="11">
        <f>((113.78*1.65/12*F14*6)+(127.2*1.65/12*F14*6))*1.18</f>
        <v>30731.817929999994</v>
      </c>
      <c r="C15" s="10" t="s">
        <v>19</v>
      </c>
      <c r="D15" s="12"/>
      <c r="E15" t="s">
        <v>20</v>
      </c>
      <c r="F15">
        <v>21147</v>
      </c>
    </row>
    <row r="16" spans="1:6" ht="19.5" customHeight="1">
      <c r="A16" s="10" t="s">
        <v>21</v>
      </c>
      <c r="B16" s="11">
        <f>B17+B20+B23+B26+B29+B32+B35+B38+B41+B44</f>
        <v>176735.75443200002</v>
      </c>
      <c r="C16" s="10"/>
      <c r="D16" s="12" t="s">
        <v>16</v>
      </c>
      <c r="E16" t="s">
        <v>22</v>
      </c>
      <c r="F16">
        <v>531.4</v>
      </c>
    </row>
    <row r="17" spans="1:6" ht="12.75">
      <c r="A17" s="13" t="s">
        <v>23</v>
      </c>
      <c r="B17" s="11">
        <f>B18+B19</f>
        <v>64983.240000000005</v>
      </c>
      <c r="C17" s="10"/>
      <c r="D17" s="12"/>
      <c r="E17" t="s">
        <v>24</v>
      </c>
      <c r="F17">
        <v>1339</v>
      </c>
    </row>
    <row r="18" spans="1:6" ht="12.75">
      <c r="A18" s="10" t="s">
        <v>25</v>
      </c>
      <c r="B18" s="11">
        <f>449.4*12.05*12</f>
        <v>64983.240000000005</v>
      </c>
      <c r="C18" s="10" t="s">
        <v>26</v>
      </c>
      <c r="D18" s="12"/>
      <c r="E18" t="s">
        <v>27</v>
      </c>
      <c r="F18">
        <v>2296.1</v>
      </c>
    </row>
    <row r="19" spans="1:6" ht="12.75">
      <c r="A19" s="10" t="s">
        <v>28</v>
      </c>
      <c r="B19" s="11">
        <f>0*176.76*1.18*12</f>
        <v>0</v>
      </c>
      <c r="C19" s="10" t="s">
        <v>29</v>
      </c>
      <c r="D19" s="12"/>
      <c r="E19" t="s">
        <v>30</v>
      </c>
      <c r="F19">
        <v>47</v>
      </c>
    </row>
    <row r="20" spans="1:6" ht="12.75">
      <c r="A20" s="13" t="s">
        <v>31</v>
      </c>
      <c r="B20" s="11">
        <f>B21+B22</f>
        <v>15273.48672</v>
      </c>
      <c r="C20" s="10"/>
      <c r="D20" s="12"/>
      <c r="E20" t="s">
        <v>32</v>
      </c>
      <c r="F20">
        <v>14.32</v>
      </c>
    </row>
    <row r="21" spans="1:6" ht="12.75">
      <c r="A21" s="10" t="s">
        <v>25</v>
      </c>
      <c r="B21" s="11">
        <f>76.2*12.05*12</f>
        <v>11018.52</v>
      </c>
      <c r="C21" s="10" t="s">
        <v>33</v>
      </c>
      <c r="D21" s="12"/>
      <c r="E21" t="s">
        <v>34</v>
      </c>
      <c r="F21">
        <v>0</v>
      </c>
    </row>
    <row r="22" spans="1:6" ht="12.75">
      <c r="A22" s="10" t="s">
        <v>28</v>
      </c>
      <c r="B22" s="11">
        <f>1.7*176.76*1.18*12</f>
        <v>4254.966719999999</v>
      </c>
      <c r="C22" s="10" t="s">
        <v>35</v>
      </c>
      <c r="D22" s="12"/>
      <c r="E22" t="s">
        <v>36</v>
      </c>
      <c r="F22">
        <v>0.88</v>
      </c>
    </row>
    <row r="23" spans="1:4" ht="12.75">
      <c r="A23" s="13" t="s">
        <v>37</v>
      </c>
      <c r="B23" s="11">
        <f>B24+B25</f>
        <v>18566.49072</v>
      </c>
      <c r="C23" s="10"/>
      <c r="D23" s="14"/>
    </row>
    <row r="24" spans="1:4" ht="12.75">
      <c r="A24" s="10" t="s">
        <v>25</v>
      </c>
      <c r="B24" s="11">
        <f>55.7*12.05*12</f>
        <v>8054.220000000001</v>
      </c>
      <c r="C24" s="10" t="s">
        <v>38</v>
      </c>
      <c r="D24" s="14"/>
    </row>
    <row r="25" spans="1:4" ht="12.75">
      <c r="A25" s="10" t="s">
        <v>28</v>
      </c>
      <c r="B25" s="11">
        <f>4.2*176.76*1.18*12</f>
        <v>10512.270719999999</v>
      </c>
      <c r="C25" s="10" t="s">
        <v>39</v>
      </c>
      <c r="D25" s="14"/>
    </row>
    <row r="26" spans="1:4" ht="12.75">
      <c r="A26" s="13" t="s">
        <v>40</v>
      </c>
      <c r="B26" s="11">
        <f>B27+B28</f>
        <v>2041.647648</v>
      </c>
      <c r="C26" s="10"/>
      <c r="D26" s="14"/>
    </row>
    <row r="27" spans="1:4" ht="12.75">
      <c r="A27" s="10" t="s">
        <v>25</v>
      </c>
      <c r="B27" s="11">
        <f>13.6*12.05*12</f>
        <v>1966.56</v>
      </c>
      <c r="C27" s="10" t="s">
        <v>41</v>
      </c>
      <c r="D27" s="14"/>
    </row>
    <row r="28" spans="1:4" ht="12.75">
      <c r="A28" s="10" t="s">
        <v>28</v>
      </c>
      <c r="B28" s="11">
        <f>0.03*176.76*1.18*12</f>
        <v>75.087648</v>
      </c>
      <c r="C28" s="10" t="s">
        <v>42</v>
      </c>
      <c r="D28" s="14"/>
    </row>
    <row r="29" spans="1:4" ht="12.75">
      <c r="A29" s="13" t="s">
        <v>43</v>
      </c>
      <c r="B29" s="11">
        <f>B30+B31</f>
        <v>16163.671199999999</v>
      </c>
      <c r="C29" s="10"/>
      <c r="D29" s="14"/>
    </row>
    <row r="30" spans="1:4" ht="12.75">
      <c r="A30" s="10" t="s">
        <v>25</v>
      </c>
      <c r="B30" s="11">
        <f>98.8*12.05*12</f>
        <v>14286.48</v>
      </c>
      <c r="C30" s="10" t="s">
        <v>44</v>
      </c>
      <c r="D30" s="14"/>
    </row>
    <row r="31" spans="1:4" ht="12.75">
      <c r="A31" s="10" t="s">
        <v>28</v>
      </c>
      <c r="B31" s="11">
        <f>0.75*176.76*1.18*12</f>
        <v>1877.1911999999998</v>
      </c>
      <c r="C31" s="10" t="s">
        <v>45</v>
      </c>
      <c r="D31" s="14"/>
    </row>
    <row r="32" spans="1:4" ht="12.75">
      <c r="A32" s="13" t="s">
        <v>46</v>
      </c>
      <c r="B32" s="11">
        <f>B33+B34</f>
        <v>11207.662752</v>
      </c>
      <c r="C32" s="10"/>
      <c r="D32" s="14"/>
    </row>
    <row r="33" spans="1:4" ht="12.75">
      <c r="A33" s="10" t="s">
        <v>25</v>
      </c>
      <c r="B33" s="11">
        <f>73.7*12.05*12</f>
        <v>10657.02</v>
      </c>
      <c r="C33" s="10" t="s">
        <v>47</v>
      </c>
      <c r="D33" s="14"/>
    </row>
    <row r="34" spans="1:4" ht="12.75">
      <c r="A34" s="10" t="s">
        <v>28</v>
      </c>
      <c r="B34" s="11">
        <f>0.22*176.76*1.18*12</f>
        <v>550.642752</v>
      </c>
      <c r="C34" s="10" t="s">
        <v>48</v>
      </c>
      <c r="D34" s="14"/>
    </row>
    <row r="35" spans="1:4" ht="12.75">
      <c r="A35" s="13" t="s">
        <v>49</v>
      </c>
      <c r="B35" s="11">
        <f>B36+B37</f>
        <v>17956.606752</v>
      </c>
      <c r="C35" s="10"/>
      <c r="D35" s="14"/>
    </row>
    <row r="36" spans="1:4" ht="12.75">
      <c r="A36" s="10" t="s">
        <v>25</v>
      </c>
      <c r="B36" s="11">
        <f>77.1*12.05*12</f>
        <v>11148.66</v>
      </c>
      <c r="C36" s="10" t="s">
        <v>50</v>
      </c>
      <c r="D36" s="14"/>
    </row>
    <row r="37" spans="1:4" ht="12.75">
      <c r="A37" s="10" t="s">
        <v>28</v>
      </c>
      <c r="B37" s="11">
        <f>2.72*176.76*1.18*12</f>
        <v>6807.946752</v>
      </c>
      <c r="C37" s="10" t="s">
        <v>51</v>
      </c>
      <c r="D37" s="14"/>
    </row>
    <row r="38" spans="1:4" ht="12.75">
      <c r="A38" s="13" t="s">
        <v>52</v>
      </c>
      <c r="B38" s="11">
        <f>B39+B40</f>
        <v>5033.764512000001</v>
      </c>
      <c r="C38" s="10"/>
      <c r="D38" s="14"/>
    </row>
    <row r="39" spans="1:4" ht="12.75">
      <c r="A39" s="10" t="s">
        <v>25</v>
      </c>
      <c r="B39" s="11">
        <f>33.6*12.05*12</f>
        <v>4858.56</v>
      </c>
      <c r="C39" s="10" t="s">
        <v>53</v>
      </c>
      <c r="D39" s="14"/>
    </row>
    <row r="40" spans="1:4" ht="12.75">
      <c r="A40" s="10" t="s">
        <v>28</v>
      </c>
      <c r="B40" s="11">
        <f>0.07*176.76*1.18*12</f>
        <v>175.20451200000002</v>
      </c>
      <c r="C40" s="10" t="s">
        <v>54</v>
      </c>
      <c r="D40" s="14"/>
    </row>
    <row r="41" spans="1:4" ht="12.75">
      <c r="A41" s="13" t="s">
        <v>55</v>
      </c>
      <c r="B41" s="11">
        <f>B42+B43</f>
        <v>18814.204128</v>
      </c>
      <c r="C41" s="10"/>
      <c r="D41" s="14"/>
    </row>
    <row r="42" spans="1:4" ht="12.75">
      <c r="A42" s="10" t="s">
        <v>25</v>
      </c>
      <c r="B42" s="11">
        <f>124.4*12.05*12</f>
        <v>17988.24</v>
      </c>
      <c r="C42" s="10" t="s">
        <v>56</v>
      </c>
      <c r="D42" s="14"/>
    </row>
    <row r="43" spans="1:4" ht="12.75">
      <c r="A43" s="10" t="s">
        <v>28</v>
      </c>
      <c r="B43" s="11">
        <f>0.33*176.76*1.18*12</f>
        <v>825.964128</v>
      </c>
      <c r="C43" s="10" t="s">
        <v>57</v>
      </c>
      <c r="D43" s="14"/>
    </row>
    <row r="44" spans="1:4" ht="12.75">
      <c r="A44" s="13" t="s">
        <v>58</v>
      </c>
      <c r="B44" s="11">
        <f>B45+B46</f>
        <v>6694.98</v>
      </c>
      <c r="C44" s="10"/>
      <c r="D44" s="14"/>
    </row>
    <row r="45" spans="1:4" ht="12.75">
      <c r="A45" s="10" t="s">
        <v>25</v>
      </c>
      <c r="B45" s="11">
        <f>46.3*12.05*12</f>
        <v>6694.98</v>
      </c>
      <c r="C45" s="10" t="s">
        <v>59</v>
      </c>
      <c r="D45" s="14"/>
    </row>
    <row r="46" spans="1:4" ht="12.75">
      <c r="A46" s="10" t="s">
        <v>28</v>
      </c>
      <c r="B46" s="11">
        <f>0*176.76*1.18*12</f>
        <v>0</v>
      </c>
      <c r="C46" s="10" t="s">
        <v>29</v>
      </c>
      <c r="D46" s="14"/>
    </row>
    <row r="47" spans="1:6" ht="21" customHeight="1">
      <c r="A47" s="10" t="s">
        <v>60</v>
      </c>
      <c r="B47" s="11">
        <f>B16+B14</f>
        <v>687956.454432</v>
      </c>
      <c r="C47" s="10"/>
      <c r="D47" s="12" t="s">
        <v>16</v>
      </c>
      <c r="E47" t="s">
        <v>61</v>
      </c>
      <c r="F47">
        <v>729.73</v>
      </c>
    </row>
    <row r="48" spans="1:6" ht="30.75" customHeight="1">
      <c r="A48" s="10" t="s">
        <v>62</v>
      </c>
      <c r="B48" s="15">
        <f>B49+B50+B51+B52+B53+B54</f>
        <v>7004.76</v>
      </c>
      <c r="C48" s="10"/>
      <c r="D48" s="14"/>
      <c r="F48">
        <v>0.81</v>
      </c>
    </row>
    <row r="49" spans="1:6" ht="21.75" customHeight="1">
      <c r="A49" s="10" t="s">
        <v>63</v>
      </c>
      <c r="B49" s="15">
        <f>34.98*12</f>
        <v>419.76</v>
      </c>
      <c r="C49" s="10" t="s">
        <v>64</v>
      </c>
      <c r="D49" s="14"/>
      <c r="E49" s="16" t="s">
        <v>65</v>
      </c>
      <c r="F49">
        <v>0</v>
      </c>
    </row>
    <row r="50" spans="1:6" ht="21.75" customHeight="1">
      <c r="A50" s="10" t="s">
        <v>66</v>
      </c>
      <c r="B50" s="15">
        <f>137.5*12</f>
        <v>1650</v>
      </c>
      <c r="C50" s="10" t="s">
        <v>67</v>
      </c>
      <c r="D50" s="12"/>
      <c r="E50" s="16" t="s">
        <v>68</v>
      </c>
      <c r="F50">
        <v>0</v>
      </c>
    </row>
    <row r="51" spans="1:6" ht="21.75" customHeight="1">
      <c r="A51" s="10" t="s">
        <v>69</v>
      </c>
      <c r="B51" s="15">
        <f>0*12</f>
        <v>0</v>
      </c>
      <c r="C51" s="10" t="s">
        <v>70</v>
      </c>
      <c r="D51" s="12"/>
      <c r="E51" t="s">
        <v>71</v>
      </c>
      <c r="F51">
        <v>0</v>
      </c>
    </row>
    <row r="52" spans="1:7" ht="21.75" customHeight="1">
      <c r="A52" s="10" t="s">
        <v>72</v>
      </c>
      <c r="B52" s="15">
        <f>150*12</f>
        <v>1800</v>
      </c>
      <c r="C52" s="10" t="s">
        <v>73</v>
      </c>
      <c r="D52" s="12"/>
      <c r="E52" t="s">
        <v>74</v>
      </c>
      <c r="F52">
        <v>729.73</v>
      </c>
      <c r="G52">
        <v>580.44</v>
      </c>
    </row>
    <row r="53" spans="1:6" ht="21.75" customHeight="1">
      <c r="A53" s="10" t="s">
        <v>75</v>
      </c>
      <c r="B53" s="15">
        <f>123.75*12</f>
        <v>1485</v>
      </c>
      <c r="C53" s="10" t="s">
        <v>70</v>
      </c>
      <c r="D53" s="12"/>
      <c r="E53" t="s">
        <v>76</v>
      </c>
      <c r="F53">
        <v>0</v>
      </c>
    </row>
    <row r="54" spans="1:6" ht="21.75" customHeight="1">
      <c r="A54" s="10" t="s">
        <v>77</v>
      </c>
      <c r="B54" s="15">
        <f>137.5*12</f>
        <v>1650</v>
      </c>
      <c r="C54" s="10" t="s">
        <v>67</v>
      </c>
      <c r="D54" s="12"/>
      <c r="E54" t="s">
        <v>78</v>
      </c>
      <c r="F54">
        <v>0</v>
      </c>
    </row>
    <row r="55" spans="1:6" ht="21.75" customHeight="1">
      <c r="A55" s="10" t="s">
        <v>79</v>
      </c>
      <c r="B55" s="15">
        <v>0</v>
      </c>
      <c r="C55" s="10"/>
      <c r="D55" s="12"/>
      <c r="E55" t="s">
        <v>80</v>
      </c>
      <c r="F55">
        <v>0</v>
      </c>
    </row>
    <row r="56" spans="1:6" ht="21.75" customHeight="1">
      <c r="A56" s="10" t="s">
        <v>81</v>
      </c>
      <c r="B56" s="11">
        <f>B47+B48+B55</f>
        <v>694961.2144320001</v>
      </c>
      <c r="C56" s="10"/>
      <c r="D56" s="12"/>
      <c r="E56" t="s">
        <v>82</v>
      </c>
      <c r="F56">
        <v>0</v>
      </c>
    </row>
    <row r="57" spans="1:4" ht="30.75" customHeight="1">
      <c r="A57" s="13" t="s">
        <v>83</v>
      </c>
      <c r="B57" s="7" t="s">
        <v>10</v>
      </c>
      <c r="C57" s="7" t="s">
        <v>84</v>
      </c>
      <c r="D57" s="12"/>
    </row>
    <row r="58" spans="1:4" ht="21.75" customHeight="1">
      <c r="A58" s="10" t="s">
        <v>85</v>
      </c>
      <c r="B58" s="15"/>
      <c r="C58" s="10"/>
      <c r="D58" s="14"/>
    </row>
    <row r="59" spans="1:4" ht="44.25" customHeight="1">
      <c r="A59" s="10" t="s">
        <v>86</v>
      </c>
      <c r="B59" s="11">
        <f>(F22*((3059+200)*1.15*1.5*1.083*1.302)+0.053*F18)*12</f>
        <v>85170.21879230399</v>
      </c>
      <c r="C59" s="10" t="s">
        <v>87</v>
      </c>
      <c r="D59" s="12" t="s">
        <v>88</v>
      </c>
    </row>
    <row r="60" spans="1:4" ht="33.75" customHeight="1">
      <c r="A60" s="10" t="s">
        <v>89</v>
      </c>
      <c r="B60" s="11">
        <f>F21*8184.66*12</f>
        <v>0</v>
      </c>
      <c r="C60" s="10" t="s">
        <v>90</v>
      </c>
      <c r="D60" s="12" t="s">
        <v>91</v>
      </c>
    </row>
    <row r="61" spans="1:4" ht="41.25" customHeight="1">
      <c r="A61" s="10" t="s">
        <v>92</v>
      </c>
      <c r="B61" s="11">
        <f>((F49*8184.66)+F13*8.74724)*12*0</f>
        <v>0</v>
      </c>
      <c r="C61" s="10" t="s">
        <v>93</v>
      </c>
      <c r="D61" s="12" t="s">
        <v>88</v>
      </c>
    </row>
    <row r="62" spans="1:4" ht="33.75" customHeight="1">
      <c r="A62" s="10" t="s">
        <v>94</v>
      </c>
      <c r="B62" s="11">
        <f>266.83*0.02*F14*12</f>
        <v>8389.1352</v>
      </c>
      <c r="C62" s="10" t="s">
        <v>95</v>
      </c>
      <c r="D62" s="12" t="s">
        <v>96</v>
      </c>
    </row>
    <row r="63" spans="1:4" ht="33.75" customHeight="1">
      <c r="A63" s="10" t="s">
        <v>97</v>
      </c>
      <c r="B63" s="15">
        <f>(16.21*F13)+(17.07*F13)</f>
        <v>1431.04</v>
      </c>
      <c r="C63" s="10" t="s">
        <v>98</v>
      </c>
      <c r="D63" s="12" t="s">
        <v>99</v>
      </c>
    </row>
    <row r="64" spans="1:4" ht="33.75" customHeight="1">
      <c r="A64" s="10" t="s">
        <v>100</v>
      </c>
      <c r="B64" s="11">
        <f>(2*47.84*F54)+(2*50.38*F54)</f>
        <v>0</v>
      </c>
      <c r="C64" s="10" t="s">
        <v>101</v>
      </c>
      <c r="D64" s="12" t="s">
        <v>102</v>
      </c>
    </row>
    <row r="65" spans="1:4" ht="42" customHeight="1">
      <c r="A65" s="10" t="s">
        <v>103</v>
      </c>
      <c r="B65" s="11">
        <f>((6*0.21*F16)+(6*0.22*F16))</f>
        <v>1371.012</v>
      </c>
      <c r="C65" s="10" t="s">
        <v>104</v>
      </c>
      <c r="D65" s="12" t="s">
        <v>16</v>
      </c>
    </row>
    <row r="66" spans="1:4" ht="45.75" customHeight="1">
      <c r="A66" s="10" t="s">
        <v>105</v>
      </c>
      <c r="B66" s="11">
        <f>(2*0.62*F16)+(2*0.65*F16)</f>
        <v>1349.7559999999999</v>
      </c>
      <c r="C66" s="10" t="s">
        <v>106</v>
      </c>
      <c r="D66" s="17" t="s">
        <v>107</v>
      </c>
    </row>
    <row r="67" spans="1:4" ht="33.75" customHeight="1">
      <c r="A67" s="10" t="s">
        <v>108</v>
      </c>
      <c r="B67" s="11">
        <f>F52*12/1.18</f>
        <v>7420.983050847458</v>
      </c>
      <c r="C67" s="10" t="s">
        <v>109</v>
      </c>
      <c r="D67" s="12" t="s">
        <v>16</v>
      </c>
    </row>
    <row r="68" spans="1:4" ht="33.75" customHeight="1">
      <c r="A68" s="10" t="s">
        <v>110</v>
      </c>
      <c r="B68" s="11">
        <f>G52*12/1.18</f>
        <v>5902.77966101695</v>
      </c>
      <c r="C68" s="10" t="s">
        <v>111</v>
      </c>
      <c r="D68" s="12" t="s">
        <v>16</v>
      </c>
    </row>
    <row r="69" spans="1:4" ht="33.75" customHeight="1">
      <c r="A69" s="10" t="s">
        <v>112</v>
      </c>
      <c r="B69" s="11">
        <f>F56*F51*12</f>
        <v>0</v>
      </c>
      <c r="C69" s="10" t="s">
        <v>113</v>
      </c>
      <c r="D69" s="12" t="s">
        <v>16</v>
      </c>
    </row>
    <row r="70" spans="1:4" ht="33.75" customHeight="1">
      <c r="A70" s="10" t="s">
        <v>114</v>
      </c>
      <c r="B70" s="11">
        <f>F55/1.18*F51</f>
        <v>0</v>
      </c>
      <c r="C70" s="10" t="s">
        <v>115</v>
      </c>
      <c r="D70" s="12" t="s">
        <v>116</v>
      </c>
    </row>
    <row r="71" spans="1:4" ht="49.5" customHeight="1">
      <c r="A71" s="10" t="s">
        <v>117</v>
      </c>
      <c r="B71" s="11">
        <f>(113.78*1.65/12*F14*6)+(127.2*1.65/12*F14*6)</f>
        <v>26043.913499999995</v>
      </c>
      <c r="C71" s="10" t="s">
        <v>118</v>
      </c>
      <c r="D71" s="12" t="s">
        <v>96</v>
      </c>
    </row>
    <row r="72" spans="1:4" ht="33.75" customHeight="1">
      <c r="A72" s="10" t="s">
        <v>119</v>
      </c>
      <c r="B72" s="11">
        <f>10.02*176.76*12</f>
        <v>21253.6224</v>
      </c>
      <c r="C72" s="10" t="s">
        <v>120</v>
      </c>
      <c r="D72" s="12" t="s">
        <v>96</v>
      </c>
    </row>
    <row r="73" spans="1:4" ht="21.75" customHeight="1">
      <c r="A73" s="10" t="s">
        <v>121</v>
      </c>
      <c r="B73" s="11">
        <f>B59+B60+B61+B62+B63+B64+B65+B66+B67+B68+B69+B71+B72+B70</f>
        <v>158332.46060416836</v>
      </c>
      <c r="C73" s="10"/>
      <c r="D73" s="12"/>
    </row>
    <row r="74" spans="1:4" ht="21.75" customHeight="1">
      <c r="A74" s="10" t="s">
        <v>122</v>
      </c>
      <c r="B74" s="15"/>
      <c r="C74" s="10"/>
      <c r="D74" s="12"/>
    </row>
    <row r="75" spans="1:4" ht="39.75" customHeight="1">
      <c r="A75" s="10" t="s">
        <v>123</v>
      </c>
      <c r="B75" s="11">
        <f>(F20*82.67+0.518*(B11+B12)*12)</f>
        <v>27995.307200000003</v>
      </c>
      <c r="C75" s="10" t="s">
        <v>124</v>
      </c>
      <c r="D75" s="17"/>
    </row>
    <row r="76" spans="1:4" ht="21.75" customHeight="1">
      <c r="A76" s="10" t="s">
        <v>125</v>
      </c>
      <c r="B76" s="15">
        <f>14.86*F17</f>
        <v>19897.54</v>
      </c>
      <c r="C76" s="10" t="s">
        <v>126</v>
      </c>
      <c r="D76" s="17" t="s">
        <v>127</v>
      </c>
    </row>
    <row r="77" spans="1:4" ht="141" customHeight="1">
      <c r="A77" s="10" t="s">
        <v>128</v>
      </c>
      <c r="B77" s="11">
        <v>0</v>
      </c>
      <c r="C77" s="10"/>
      <c r="D77" s="12"/>
    </row>
    <row r="78" spans="1:4" ht="21.75" customHeight="1">
      <c r="A78" s="10" t="s">
        <v>129</v>
      </c>
      <c r="B78" s="11">
        <v>0</v>
      </c>
      <c r="C78" s="10"/>
      <c r="D78" s="17"/>
    </row>
    <row r="79" spans="1:4" ht="39.75" customHeight="1">
      <c r="A79" s="10" t="s">
        <v>130</v>
      </c>
      <c r="B79" s="11">
        <f>(560.69+208.49/3)*F15/1000</f>
        <v>13326.55744</v>
      </c>
      <c r="C79" s="10" t="s">
        <v>131</v>
      </c>
      <c r="D79" s="17" t="s">
        <v>132</v>
      </c>
    </row>
    <row r="80" spans="1:4" ht="21.75" customHeight="1">
      <c r="A80" s="10" t="s">
        <v>133</v>
      </c>
      <c r="B80" s="11">
        <v>0</v>
      </c>
      <c r="C80" s="10"/>
      <c r="D80" s="12"/>
    </row>
    <row r="81" spans="1:4" ht="33" customHeight="1">
      <c r="A81" s="10" t="s">
        <v>134</v>
      </c>
      <c r="B81" s="11">
        <f>(F47*82.67)+(F47*82.67/1.302)*0.25</f>
        <v>71910.26203010752</v>
      </c>
      <c r="C81" s="10" t="s">
        <v>135</v>
      </c>
      <c r="D81" s="12"/>
    </row>
    <row r="82" spans="1:4" ht="21.75" customHeight="1">
      <c r="A82" s="10" t="s">
        <v>136</v>
      </c>
      <c r="B82" s="11">
        <f>B75+B76+B77+B78+B79+B80+B81</f>
        <v>133129.66667010752</v>
      </c>
      <c r="C82" s="10"/>
      <c r="D82" s="12"/>
    </row>
    <row r="83" spans="1:4" ht="21.75" customHeight="1">
      <c r="A83" s="10" t="s">
        <v>137</v>
      </c>
      <c r="B83" s="15"/>
      <c r="C83" s="10"/>
      <c r="D83" s="12"/>
    </row>
    <row r="84" spans="1:4" ht="21.75" customHeight="1">
      <c r="A84" s="10" t="s">
        <v>138</v>
      </c>
      <c r="B84" s="15"/>
      <c r="C84" s="10"/>
      <c r="D84" s="12"/>
    </row>
    <row r="85" spans="1:4" ht="21.75" customHeight="1">
      <c r="A85" s="10" t="s">
        <v>139</v>
      </c>
      <c r="B85" s="15"/>
      <c r="C85" s="10"/>
      <c r="D85" s="12"/>
    </row>
    <row r="86" spans="1:4" ht="21.75" customHeight="1">
      <c r="A86" s="10" t="s">
        <v>140</v>
      </c>
      <c r="B86" s="15"/>
      <c r="C86" s="10"/>
      <c r="D86" s="12"/>
    </row>
    <row r="87" spans="1:4" ht="21.75" customHeight="1">
      <c r="A87" s="10" t="s">
        <v>141</v>
      </c>
      <c r="B87" s="15"/>
      <c r="C87" s="10"/>
      <c r="D87" s="12"/>
    </row>
    <row r="88" spans="1:4" ht="21.75" customHeight="1">
      <c r="A88" s="10" t="s">
        <v>142</v>
      </c>
      <c r="B88" s="15"/>
      <c r="C88" s="10"/>
      <c r="D88" s="12"/>
    </row>
    <row r="89" spans="1:4" ht="21.75" customHeight="1">
      <c r="A89" s="10" t="s">
        <v>143</v>
      </c>
      <c r="B89" s="15"/>
      <c r="C89" s="10"/>
      <c r="D89" s="12"/>
    </row>
    <row r="90" spans="1:4" ht="21.75" customHeight="1">
      <c r="A90" s="10" t="s">
        <v>144</v>
      </c>
      <c r="B90" s="15">
        <f>B84+B85+B86+B87+B88+B89</f>
        <v>0</v>
      </c>
      <c r="C90" s="10"/>
      <c r="D90" s="12"/>
    </row>
    <row r="91" spans="1:4" ht="21.75" customHeight="1">
      <c r="A91" s="10" t="s">
        <v>145</v>
      </c>
      <c r="B91" s="11">
        <f>2.096*(B11+B12)</f>
        <v>9040.676800000001</v>
      </c>
      <c r="C91" s="10" t="s">
        <v>146</v>
      </c>
      <c r="D91" s="12" t="s">
        <v>16</v>
      </c>
    </row>
    <row r="92" spans="1:4" ht="21.75" customHeight="1">
      <c r="A92" s="10" t="s">
        <v>147</v>
      </c>
      <c r="B92" s="11">
        <f>1.28*(B11+B12)</f>
        <v>5521.024</v>
      </c>
      <c r="C92" s="10" t="s">
        <v>148</v>
      </c>
      <c r="D92" s="12" t="s">
        <v>16</v>
      </c>
    </row>
    <row r="93" spans="1:4" ht="21.75" customHeight="1">
      <c r="A93" s="10" t="s">
        <v>149</v>
      </c>
      <c r="B93" s="11">
        <f>(B73+B82)*0.166</f>
        <v>48382.713127529794</v>
      </c>
      <c r="C93" s="10" t="s">
        <v>150</v>
      </c>
      <c r="D93" s="12" t="s">
        <v>16</v>
      </c>
    </row>
    <row r="94" spans="1:4" ht="28.5" customHeight="1">
      <c r="A94" s="10" t="s">
        <v>151</v>
      </c>
      <c r="B94" s="11">
        <f>F48*B11*12</f>
        <v>31730.940000000002</v>
      </c>
      <c r="C94" s="10" t="s">
        <v>152</v>
      </c>
      <c r="D94" s="12" t="s">
        <v>16</v>
      </c>
    </row>
    <row r="95" spans="1:4" ht="32.25" customHeight="1">
      <c r="A95" s="10" t="s">
        <v>153</v>
      </c>
      <c r="B95" s="18">
        <f>(B73+B82+B93)*0.159</f>
        <v>54035.3296238871</v>
      </c>
      <c r="C95" s="10" t="s">
        <v>154</v>
      </c>
      <c r="D95" s="12" t="s">
        <v>16</v>
      </c>
    </row>
    <row r="96" spans="1:4" ht="21.75" customHeight="1">
      <c r="A96" s="10" t="s">
        <v>155</v>
      </c>
      <c r="B96" s="11">
        <f>B91+B92+B93+B94+B95</f>
        <v>148710.6835514169</v>
      </c>
      <c r="C96" s="10"/>
      <c r="D96" s="12"/>
    </row>
    <row r="97" spans="1:4" ht="21.75" customHeight="1">
      <c r="A97" s="10" t="s">
        <v>156</v>
      </c>
      <c r="B97" s="11">
        <f>(B73+B82+B90+B96)*3%</f>
        <v>13205.184324770782</v>
      </c>
      <c r="C97" s="10"/>
      <c r="D97" s="12"/>
    </row>
    <row r="98" spans="1:4" ht="21.75" customHeight="1">
      <c r="A98" s="10" t="s">
        <v>81</v>
      </c>
      <c r="B98" s="11">
        <f>B73+B82+B90+B96+B97</f>
        <v>453377.99515046354</v>
      </c>
      <c r="C98" s="10"/>
      <c r="D98" s="12"/>
    </row>
    <row r="99" spans="1:4" ht="21.75" customHeight="1">
      <c r="A99" s="10" t="s">
        <v>157</v>
      </c>
      <c r="B99" s="11">
        <f>B98*1.18</f>
        <v>534986.0342775469</v>
      </c>
      <c r="C99" s="10"/>
      <c r="D99" s="12"/>
    </row>
    <row r="100" spans="1:4" ht="21.75" customHeight="1">
      <c r="A100" s="10"/>
      <c r="B100" s="11">
        <f>B56-B99</f>
        <v>159975.18015445315</v>
      </c>
      <c r="C100" s="10"/>
      <c r="D100" s="14"/>
    </row>
    <row r="101" ht="30.75" customHeight="1"/>
    <row r="102" spans="1:3" ht="30.75" customHeight="1">
      <c r="A102" s="19" t="s">
        <v>158</v>
      </c>
      <c r="B102" s="19"/>
      <c r="C102" s="19"/>
    </row>
    <row r="103" spans="1:3" ht="30.75" customHeight="1">
      <c r="A103" s="19" t="s">
        <v>159</v>
      </c>
      <c r="B103" s="19"/>
      <c r="C103" s="19"/>
    </row>
    <row r="104" spans="1:3" ht="46.5" customHeight="1">
      <c r="A104" s="20" t="s">
        <v>160</v>
      </c>
      <c r="B104" s="20"/>
      <c r="C104" s="20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 t="s">
        <v>161</v>
      </c>
      <c r="B109" s="1"/>
      <c r="C109" s="1" t="s">
        <v>162</v>
      </c>
    </row>
    <row r="111" spans="1:3" ht="12.75">
      <c r="A111" s="21" t="s">
        <v>163</v>
      </c>
      <c r="B111" s="22"/>
      <c r="C111" s="22">
        <v>-10448.13</v>
      </c>
    </row>
  </sheetData>
  <sheetProtection selectLockedCells="1" selectUnlockedCells="1"/>
  <mergeCells count="5">
    <mergeCell ref="A7:D7"/>
    <mergeCell ref="A8:C8"/>
    <mergeCell ref="A102:C102"/>
    <mergeCell ref="A103:C103"/>
    <mergeCell ref="A104:C10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2015-01-26T09:02:26Z</dcterms:created>
  <dcterms:modified xsi:type="dcterms:W3CDTF">2015-01-26T09:02:56Z</dcterms:modified>
  <cp:category/>
  <cp:version/>
  <cp:contentType/>
  <cp:contentStatus/>
  <cp:revision>1</cp:revision>
</cp:coreProperties>
</file>