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ysthesizz\Documents\19.05.2015\69\"/>
    </mc:Choice>
  </mc:AlternateContent>
  <bookViews>
    <workbookView xWindow="0" yWindow="0" windowWidth="19200" windowHeight="11745"/>
  </bookViews>
  <sheets>
    <sheet name="Ульяновых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C67" i="1"/>
  <c r="C66" i="1"/>
  <c r="C58" i="1"/>
  <c r="C57" i="1"/>
  <c r="C55" i="1"/>
  <c r="C54" i="1"/>
  <c r="C59" i="1" s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52" i="1" s="1"/>
  <c r="C34" i="1"/>
  <c r="C33" i="1"/>
  <c r="C32" i="1"/>
  <c r="C31" i="1"/>
  <c r="C30" i="1"/>
  <c r="C29" i="1"/>
  <c r="C28" i="1" s="1"/>
  <c r="C26" i="1"/>
  <c r="C25" i="1"/>
  <c r="C24" i="1" s="1"/>
  <c r="C23" i="1"/>
  <c r="C22" i="1"/>
  <c r="C21" i="1"/>
  <c r="C20" i="1"/>
  <c r="C19" i="1"/>
  <c r="C18" i="1" s="1"/>
  <c r="C16" i="1"/>
  <c r="C15" i="1"/>
  <c r="C17" i="1" l="1"/>
  <c r="C27" i="1" s="1"/>
  <c r="C36" i="1" s="1"/>
  <c r="C69" i="1"/>
  <c r="C70" i="1" s="1"/>
  <c r="C71" i="1" l="1"/>
  <c r="C72" i="1" l="1"/>
  <c r="C73" i="1" s="1"/>
  <c r="C74" i="1" s="1"/>
  <c r="C76" i="1" l="1"/>
  <c r="C75" i="1"/>
</calcChain>
</file>

<file path=xl/sharedStrings.xml><?xml version="1.0" encoding="utf-8"?>
<sst xmlns="http://schemas.openxmlformats.org/spreadsheetml/2006/main" count="141" uniqueCount="117">
  <si>
    <t>УТВЕРЖДАЮ</t>
  </si>
  <si>
    <t>И. о. директора ОАО" УЖХ</t>
  </si>
  <si>
    <t>Орджоникидзевского района"</t>
  </si>
  <si>
    <t>____________________А.М. Андреев</t>
  </si>
  <si>
    <t>План работ на 2015г., согласно Постановлению Правительства РФ от 23 сентября 2010г. №731 п.11 пп.б</t>
  </si>
  <si>
    <t>Смета доходов  и расходов на содержание и текущий ремонт общедомового имущества дома №21,  ул. Ульяновых</t>
  </si>
  <si>
    <t>Общая площадь, кв. м.</t>
  </si>
  <si>
    <t>ЖЭУ-69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</si>
  <si>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</si>
  <si>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</si>
  <si>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</si>
  <si>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</si>
  <si>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Дата исполнения</t>
  </si>
  <si>
    <t>1.Начисление населению</t>
  </si>
  <si>
    <t>2463,2кв.м.*10,78руб.*12 мес.</t>
  </si>
  <si>
    <t>1раз в месяц</t>
  </si>
  <si>
    <t>в т. ч. вывоз мусора (население)</t>
  </si>
  <si>
    <t>((127,11руб./куб.м.*133чел.*6мес.*1,65/12)+(144,83 руб./куб.м.*133чел.*6мес.*1,65/12))*1,18</t>
  </si>
  <si>
    <t>2. Начисление по нежилым помещениям</t>
  </si>
  <si>
    <t>1) ИП Газизова Л.Т. (69,4кв.м.)</t>
  </si>
  <si>
    <t>Тех.обслуживание</t>
  </si>
  <si>
    <t>69,4кв.м.*9,78руб.*12мес.</t>
  </si>
  <si>
    <t>Вывоз мусора</t>
  </si>
  <si>
    <t>3,5куб.м.*(178,32руб.*1,18*6мес.+179,77руб./куб.м.*1,18*6мес.)</t>
  </si>
  <si>
    <t>2) ОАО трест "НефтеГазВзрывПромСтрой" (422,6кв.м.)</t>
  </si>
  <si>
    <t>422,6кв.м.*9,78руб.*12мес.</t>
  </si>
  <si>
    <t>8,21куб.м.*(178,32руб.*1,18*6мес.+179,77руб./куб.м.*1,18*6мес.)</t>
  </si>
  <si>
    <t>3) ООО "Бизнес-Флора" (70,2кв.м.)</t>
  </si>
  <si>
    <t>70,2кв.м.*9,78руб.*12мес.</t>
  </si>
  <si>
    <t>0куб.м.*(178,32руб.*1,18*6мес.+179,77руб./куб.м.*1,18*6мес.)</t>
  </si>
  <si>
    <t>Всего:</t>
  </si>
  <si>
    <t>3.Начисление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</si>
  <si>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</si>
  <si>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</si>
  <si>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</si>
  <si>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</si>
  <si>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"ЭРТелеком"</t>
  </si>
  <si>
    <t>123,75руб.*12мес.</t>
  </si>
  <si>
    <t>"Уфанет"</t>
  </si>
  <si>
    <t>"Башинформсвязь"</t>
  </si>
  <si>
    <t>150,00руб.*12мес.</t>
  </si>
  <si>
    <t>"Скартелл"</t>
  </si>
  <si>
    <t>4.Начисление за рекламу(аренда)</t>
  </si>
  <si>
    <t xml:space="preserve"> 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</si>
  <si>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</si>
  <si>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</si>
  <si>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</si>
  <si>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</si>
  <si>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</si>
  <si>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(0,66чел.*((3221+200)*1,15*1,5*1,083*1,302)+0,084руб./кв.м.асф.покр.*1388,31кв.м.)*12 мес.</t>
  </si>
  <si>
    <t>каждый день</t>
  </si>
  <si>
    <t>.-уборка лестничных клеток</t>
  </si>
  <si>
    <t>0чел*8618,11 руб./чел*12 мес.</t>
  </si>
  <si>
    <t>.-обслуживание мусоропровода</t>
  </si>
  <si>
    <t>((0чел.*8618,11руб/чел.)+0квартир*10,20529руб/кв)*12</t>
  </si>
  <si>
    <t>.- вывоз КГМ</t>
  </si>
  <si>
    <t>256,74руб./куб.м.*0,02куб.м.*133чел.*6+270,70руб./куб.м.*0,02куб.м.*133чел.*6мес.</t>
  </si>
  <si>
    <t>по графику</t>
  </si>
  <si>
    <t>-очистка вентканалов</t>
  </si>
  <si>
    <t>16,86руб.*62вентк.*2раза</t>
  </si>
  <si>
    <t>2раза в год</t>
  </si>
  <si>
    <t>.-проверка дымоходов</t>
  </si>
  <si>
    <t>4раза в год*49,72 руб.*0 дымоходов</t>
  </si>
  <si>
    <t>.-дератизация</t>
  </si>
  <si>
    <t>(6раз в год*0,24 руб./мес.*(87,5+191)кв.м.)+(6раз в год*0,25руб.в мес.*(87,5+191)кв.м.)</t>
  </si>
  <si>
    <t>.-дезинсекция</t>
  </si>
  <si>
    <t>(2 раза в год*2,22руб./мес.*(87,5+191)кв.м.)+(2раза в год*2,34руб./мес.*(87,5+191)кв.м.)</t>
  </si>
  <si>
    <t>4раза в год</t>
  </si>
  <si>
    <t>.-т/о приборов учета тепловой энергии</t>
  </si>
  <si>
    <t>(820,25руб./мес.*6 мес.+865,34руб./мес.*6мес.)/1,18</t>
  </si>
  <si>
    <t>.-т/о и ППР ЗПУ</t>
  </si>
  <si>
    <t>491,47руб./1,18*12</t>
  </si>
  <si>
    <t>.-комплексное обслуживание лифтов</t>
  </si>
  <si>
    <t>0руб./мес.*12 мес.*2 лифта</t>
  </si>
  <si>
    <t>.-вывоз мусора (население)САХ</t>
  </si>
  <si>
    <t>(127,11руб./куб.м.*133чел.*6мес.*1,65/12)+(144,83 руб./куб.м.*133чел.*6мес.*1,65/12)</t>
  </si>
  <si>
    <t>.-вывоз мусора (арендаторы)</t>
  </si>
  <si>
    <t>11,71куб.м.*(178,32руб.*6мес.+179,77руб./куб.м.*6мес.)</t>
  </si>
  <si>
    <t>Всего по п.1:</t>
  </si>
  <si>
    <t>2.Техническая эксплуатация</t>
  </si>
  <si>
    <t>.-профосмотры:в т.ч.сезонные осмотры</t>
  </si>
  <si>
    <t>(10,09ч/час*86,9979руб./час.+1,53руб./м.кв.*(2463,2+562,5)кв.м.)*12мес.</t>
  </si>
  <si>
    <t>-очистка кровли от снега</t>
  </si>
  <si>
    <t>13,82руб./кв.м.*1020кв.м.</t>
  </si>
  <si>
    <t>в зимний период</t>
  </si>
  <si>
    <t xml:space="preserve"> - набор работ (ремонт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вентелей, задвижек)</t>
  </si>
  <si>
    <t>.-гидравлические испытания и промывка системы отопления</t>
  </si>
  <si>
    <t>(586,14руб./куб.м.+(223,96/3)руб./куб.м.)*11890/1000</t>
  </si>
  <si>
    <t>гидравлич.испытания - 1раз в год,   промывка - 1раз в 3 года</t>
  </si>
  <si>
    <t>-резерв на непредвиденные работы</t>
  </si>
  <si>
    <t>(375,79ч/час*86,9979руб./час)+(375,79ч/час*86,9979руб./час/1,302)*25%</t>
  </si>
  <si>
    <t>Всего по п.2:</t>
  </si>
  <si>
    <t>3.Текущий ремонт</t>
  </si>
  <si>
    <t>.-смена оконных блоков</t>
  </si>
  <si>
    <t>.-смена ВРУ</t>
  </si>
  <si>
    <t xml:space="preserve">-замена эл.проводки </t>
  </si>
  <si>
    <t>-замена входных дверей</t>
  </si>
  <si>
    <t>-резерв и непредвиденные затраты</t>
  </si>
  <si>
    <t>Всего по п.3:</t>
  </si>
  <si>
    <t>4.Аварийно-ремонтная служба</t>
  </si>
  <si>
    <t>2,679 руб./кв.м.*(2463,2+562,5)кв.м.</t>
  </si>
  <si>
    <t>5.ОДС</t>
  </si>
  <si>
    <t>1,29руб./кв.м*(2463,2+562,5)кв.м.</t>
  </si>
  <si>
    <t>6. Общеэксплуатационные расходы</t>
  </si>
  <si>
    <t xml:space="preserve"> Расходы по работам, оказываемым ЖЭУ*0,212*</t>
  </si>
  <si>
    <t>7. Услуги по начислению и сбору платежей и управлению домом</t>
  </si>
  <si>
    <t>(Прямые расходы+общеэкспуатационные расходы)*0,16**</t>
  </si>
  <si>
    <t>Всего по п.4-7:</t>
  </si>
  <si>
    <t>Рентабельность, 3%</t>
  </si>
  <si>
    <t>Итого стоимость услуг с НДС:</t>
  </si>
  <si>
    <t>Экономически обоснованный тариф по затратам на "Содержание"</t>
  </si>
  <si>
    <t>Итого стоимость услуг/(2463,2+562,5)кв.м./12мес.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</si>
  <si>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</si>
  <si>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</si>
  <si>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</si>
  <si>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 xml:space="preserve">Начальник ПЭО </t>
  </si>
  <si>
    <t>А. А. Бахтиярова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</si>
</sst>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_-* #,##0.00_р_._-;\-* #,##0.00_р_._-;_-* &quot;-&quot;??_р_._-;_-@_-"/>
    <numFmt numFmtId="166" formatCode="_-* #,##0.00_р_._-;\-* #,##0.00_р_._-;_-* \-??_р_._-;_-@_-"/>
    <numFmt numFmtId="167" formatCode="#,##0.00_р_.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18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6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vertical="center" wrapText="1"/>
    </xf>
    <xf numFmtId="4" fontId="9" fillId="2" borderId="6" xfId="2" applyNumberFormat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 wrapText="1"/>
    </xf>
    <xf numFmtId="4" fontId="9" fillId="2" borderId="8" xfId="2" applyNumberFormat="1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2" fontId="11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vertical="center" wrapText="1"/>
    </xf>
    <xf numFmtId="4" fontId="11" fillId="2" borderId="9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/>
    <xf numFmtId="0" fontId="11" fillId="2" borderId="5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4" fontId="11" fillId="0" borderId="8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2" fontId="16" fillId="2" borderId="5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0" xfId="0" applyFont="1"/>
    <xf numFmtId="2" fontId="11" fillId="3" borderId="5" xfId="0" applyNumberFormat="1" applyFont="1" applyFill="1" applyBorder="1" applyAlignment="1">
      <alignment horizontal="center" vertical="center" wrapText="1"/>
    </xf>
    <xf numFmtId="0" fontId="11" fillId="0" borderId="3" xfId="3" applyFont="1" applyBorder="1" applyAlignment="1">
      <alignment horizontal="left" vertical="center" wrapText="1"/>
    </xf>
    <xf numFmtId="4" fontId="11" fillId="3" borderId="8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4" fontId="11" fillId="2" borderId="2" xfId="0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" fontId="4" fillId="2" borderId="1" xfId="1" applyNumberFormat="1" applyFont="1" applyFill="1" applyBorder="1" applyAlignment="1" applyProtection="1">
      <alignment horizontal="center" vertical="center"/>
    </xf>
    <xf numFmtId="166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0" fontId="18" fillId="0" borderId="3" xfId="4" applyFont="1" applyBorder="1" applyAlignment="1">
      <alignment horizontal="left" vertical="center" wrapText="1"/>
    </xf>
    <xf numFmtId="167" fontId="18" fillId="0" borderId="3" xfId="4" applyNumberFormat="1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/>
    </xf>
    <xf numFmtId="0" fontId="18" fillId="0" borderId="0" xfId="4" applyFont="1" applyBorder="1" applyAlignment="1">
      <alignment horizontal="left" vertical="center" wrapText="1"/>
    </xf>
    <xf numFmtId="167" fontId="18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1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2" borderId="0" xfId="0" applyFont="1" applyFill="1" applyAlignment="1">
      <alignment horizontal="left" vertical="center" wrapText="1"/>
    </xf>
    <xf numFmtId="0" fontId="20" fillId="0" borderId="0" xfId="5" applyFont="1" applyFill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5" borderId="0" xfId="0" applyFont="1" applyFill="1" applyAlignment="1">
      <alignment vertical="center"/>
    </xf>
  </cellXfs>
  <cellStyles count="6">
    <cellStyle name="Comma" xfId="1" builtinId="3"/>
    <cellStyle name="Normal" xfId="0" builtinId="0"/>
    <cellStyle name="Обычный 5" xfId="2"/>
    <cellStyle name="Обычный 6" xfId="4"/>
    <cellStyle name="Обычный 7" xfId="5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FFC000"/>
  </sheetPr>
  <dimension ref="B1:H100"/>
  <sheetViews>
    <sheetView tabSelected="1" zoomScale="130" zoomScaleNormal="130" workbookViewId="0">
      <selection activeCell="B14" sqref="B14"/>
    </sheetView>
  </sheetViews>
  <sheetFormatPr defaultRowHeight="15" x14ac:dyDescent="0.25"/>
  <cols>
    <col min="1" max="1" width="4.7109375" style="3" customWidth="1"/>
    <col min="2" max="2" width="37" style="4" customWidth="1"/>
    <col min="3" max="3" width="13.140625" style="117" customWidth="1"/>
    <col min="4" max="4" width="27.7109375" style="117" customWidth="1"/>
    <col min="5" max="5" width="13.28515625" style="2" customWidth="1"/>
    <col min="6" max="16384" width="9.140625" style="3"/>
  </cols>
  <sheetData>
    <row r="1" spans="2:5" x14ac:dyDescent="0.25">
      <c r="B1" s="1"/>
      <c r="C1" s="1"/>
      <c r="D1" s="1"/>
    </row>
    <row r="2" spans="2:5" ht="15.75" x14ac:dyDescent="0.25">
      <c r="B2" s="1"/>
      <c r="C2" s="4"/>
      <c r="D2" s="5" t="s">
        <v>0</v>
      </c>
    </row>
    <row r="3" spans="2:5" ht="15.75" x14ac:dyDescent="0.25">
      <c r="B3" s="1"/>
      <c r="C3" s="1"/>
      <c r="D3" s="5" t="s">
        <v>1</v>
      </c>
    </row>
    <row r="4" spans="2:5" ht="15.75" x14ac:dyDescent="0.25">
      <c r="B4" s="1"/>
      <c r="C4" s="1"/>
      <c r="D4" s="5" t="s">
        <v>2</v>
      </c>
    </row>
    <row r="5" spans="2:5" ht="15.75" x14ac:dyDescent="0.25">
      <c r="B5" s="1"/>
      <c r="C5" s="1"/>
      <c r="D5" s="5"/>
    </row>
    <row r="6" spans="2:5" ht="15.75" x14ac:dyDescent="0.25">
      <c r="B6" s="1"/>
      <c r="C6" s="1"/>
      <c r="D6" s="6" t="s">
        <v>3</v>
      </c>
    </row>
    <row r="7" spans="2:5" ht="15.75" x14ac:dyDescent="0.25">
      <c r="B7" s="1"/>
      <c r="C7" s="1"/>
      <c r="D7" s="5"/>
    </row>
    <row r="8" spans="2:5" ht="37.15" customHeight="1" x14ac:dyDescent="0.25">
      <c r="B8" s="7" t="s">
        <v>4</v>
      </c>
      <c r="C8" s="7"/>
      <c r="D8" s="7"/>
    </row>
    <row r="9" spans="2:5" x14ac:dyDescent="0.25">
      <c r="B9" s="7" t="s">
        <v>5</v>
      </c>
      <c r="C9" s="7"/>
      <c r="D9" s="7"/>
    </row>
    <row r="10" spans="2:5" x14ac:dyDescent="0.25">
      <c r="B10" s="7"/>
      <c r="C10" s="7"/>
      <c r="D10" s="7"/>
    </row>
    <row r="11" spans="2:5" ht="15.75" x14ac:dyDescent="0.25">
      <c r="B11" s="8"/>
      <c r="C11" s="8"/>
      <c r="D11" s="8"/>
    </row>
    <row r="12" spans="2:5" ht="15.75" x14ac:dyDescent="0.25">
      <c r="B12" s="9" t="s">
        <v>6</v>
      </c>
      <c r="C12" s="10">
        <v>2463.1999999999998</v>
      </c>
      <c r="D12" s="11" t="s">
        <v>7</v>
      </c>
    </row>
    <row r="13" spans="2:5" s="16" customFormat="1" ht="31.5" x14ac:dyDescent="0.25">
      <c r="B13" s="12" t="s">
        <v>8</v>
      </c>
      <c r="C13" s="13">
        <v>562.5</v>
      </c>
      <c r="D13" s="14"/>
      <c r="E13" s="15"/>
    </row>
    <row r="14" spans="2:5" ht="45.75" customHeight="1" x14ac:dyDescent="0.25">
      <c r="B14" s="17" t="s">
        <v>9</v>
      </c>
      <c r="C14" s="18" t="s">
        <v>10</v>
      </c>
      <c r="D14" s="19" t="s">
        <v>11</v>
      </c>
      <c r="E14" s="20" t="s">
        <v>12</v>
      </c>
    </row>
    <row r="15" spans="2:5" x14ac:dyDescent="0.25">
      <c r="B15" s="21" t="s">
        <v>13</v>
      </c>
      <c r="C15" s="22">
        <f>C12*10.78*12</f>
        <v>318639.55199999991</v>
      </c>
      <c r="D15" s="23" t="s">
        <v>14</v>
      </c>
      <c r="E15" s="24" t="s">
        <v>15</v>
      </c>
    </row>
    <row r="16" spans="2:5" ht="51" x14ac:dyDescent="0.25">
      <c r="B16" s="25" t="s">
        <v>16</v>
      </c>
      <c r="C16" s="26">
        <f>((127.11*1.65/12*133*6)+(144.83*1.65/12*133*6))*1.18</f>
        <v>35209.567470000002</v>
      </c>
      <c r="D16" s="27" t="s">
        <v>17</v>
      </c>
      <c r="E16" s="28"/>
    </row>
    <row r="17" spans="2:5" x14ac:dyDescent="0.25">
      <c r="B17" s="29" t="s">
        <v>18</v>
      </c>
      <c r="C17" s="26">
        <f>C18+C21+C24</f>
        <v>95667.88801200001</v>
      </c>
      <c r="D17" s="27"/>
      <c r="E17" s="28"/>
    </row>
    <row r="18" spans="2:5" x14ac:dyDescent="0.25">
      <c r="B18" s="30" t="s">
        <v>19</v>
      </c>
      <c r="C18" s="31">
        <f>C19+C20</f>
        <v>17018.254199999999</v>
      </c>
      <c r="D18" s="32"/>
      <c r="E18" s="28"/>
    </row>
    <row r="19" spans="2:5" x14ac:dyDescent="0.25">
      <c r="B19" s="33" t="s">
        <v>20</v>
      </c>
      <c r="C19" s="34">
        <f>69.4*9.78*12</f>
        <v>8144.7839999999997</v>
      </c>
      <c r="D19" s="35" t="s">
        <v>21</v>
      </c>
      <c r="E19" s="28" t="s">
        <v>15</v>
      </c>
    </row>
    <row r="20" spans="2:5" ht="25.5" x14ac:dyDescent="0.25">
      <c r="B20" s="33" t="s">
        <v>22</v>
      </c>
      <c r="C20" s="36">
        <f>3.5*(178.32*6*1.18+179.77*1.18*6)</f>
        <v>8873.4701999999997</v>
      </c>
      <c r="D20" s="37" t="s">
        <v>23</v>
      </c>
      <c r="E20" s="28" t="s">
        <v>15</v>
      </c>
    </row>
    <row r="21" spans="2:5" ht="25.5" x14ac:dyDescent="0.25">
      <c r="B21" s="30" t="s">
        <v>24</v>
      </c>
      <c r="C21" s="31">
        <f>C22+C23</f>
        <v>70410.961812000009</v>
      </c>
      <c r="D21" s="32"/>
      <c r="E21" s="28"/>
    </row>
    <row r="22" spans="2:5" x14ac:dyDescent="0.25">
      <c r="B22" s="33" t="s">
        <v>20</v>
      </c>
      <c r="C22" s="34">
        <f>422.6*9.78*12</f>
        <v>49596.336000000003</v>
      </c>
      <c r="D22" s="35" t="s">
        <v>25</v>
      </c>
      <c r="E22" s="28" t="s">
        <v>15</v>
      </c>
    </row>
    <row r="23" spans="2:5" ht="25.5" x14ac:dyDescent="0.25">
      <c r="B23" s="33" t="s">
        <v>22</v>
      </c>
      <c r="C23" s="36">
        <f>8.21*(178.32*6*1.18+179.77*1.18*6)</f>
        <v>20814.625812000002</v>
      </c>
      <c r="D23" s="37" t="s">
        <v>26</v>
      </c>
      <c r="E23" s="28" t="s">
        <v>15</v>
      </c>
    </row>
    <row r="24" spans="2:5" x14ac:dyDescent="0.25">
      <c r="B24" s="30" t="s">
        <v>27</v>
      </c>
      <c r="C24" s="31">
        <f>C25+C26</f>
        <v>8238.6719999999987</v>
      </c>
      <c r="D24" s="32"/>
      <c r="E24" s="28"/>
    </row>
    <row r="25" spans="2:5" x14ac:dyDescent="0.25">
      <c r="B25" s="33" t="s">
        <v>20</v>
      </c>
      <c r="C25" s="34">
        <f>70.2*9.78*12</f>
        <v>8238.6719999999987</v>
      </c>
      <c r="D25" s="35" t="s">
        <v>28</v>
      </c>
      <c r="E25" s="28" t="s">
        <v>15</v>
      </c>
    </row>
    <row r="26" spans="2:5" ht="25.5" x14ac:dyDescent="0.25">
      <c r="B26" s="33" t="s">
        <v>22</v>
      </c>
      <c r="C26" s="36">
        <f>0*(178.32*6*1.18+179.77*1.18*6)</f>
        <v>0</v>
      </c>
      <c r="D26" s="37" t="s">
        <v>29</v>
      </c>
      <c r="E26" s="28"/>
    </row>
    <row r="27" spans="2:5" ht="15.75" x14ac:dyDescent="0.25">
      <c r="B27" s="38" t="s">
        <v>30</v>
      </c>
      <c r="C27" s="39">
        <f>C15+C17</f>
        <v>414307.44001199992</v>
      </c>
      <c r="D27" s="40"/>
      <c r="E27" s="28"/>
    </row>
    <row r="28" spans="2:5" ht="25.5" x14ac:dyDescent="0.25">
      <c r="B28" s="41" t="s">
        <v>31</v>
      </c>
      <c r="C28" s="39">
        <f>C29+C30+C31+C32+C33+C34</f>
        <v>8489.76</v>
      </c>
      <c r="D28" s="40"/>
      <c r="E28" s="28"/>
    </row>
    <row r="29" spans="2:5" x14ac:dyDescent="0.25">
      <c r="B29" s="30" t="s">
        <v>32</v>
      </c>
      <c r="C29" s="39">
        <f>34.98*12</f>
        <v>419.76</v>
      </c>
      <c r="D29" s="40" t="s">
        <v>33</v>
      </c>
      <c r="E29" s="28" t="s">
        <v>15</v>
      </c>
    </row>
    <row r="30" spans="2:5" x14ac:dyDescent="0.25">
      <c r="B30" s="30" t="s">
        <v>34</v>
      </c>
      <c r="C30" s="39">
        <f>137.5*12</f>
        <v>1650</v>
      </c>
      <c r="D30" s="40" t="s">
        <v>35</v>
      </c>
      <c r="E30" s="28" t="s">
        <v>15</v>
      </c>
    </row>
    <row r="31" spans="2:5" x14ac:dyDescent="0.25">
      <c r="B31" s="30" t="s">
        <v>36</v>
      </c>
      <c r="C31" s="39">
        <f>123.75*12</f>
        <v>1485</v>
      </c>
      <c r="D31" s="40" t="s">
        <v>37</v>
      </c>
      <c r="E31" s="28" t="s">
        <v>15</v>
      </c>
    </row>
    <row r="32" spans="2:5" x14ac:dyDescent="0.25">
      <c r="B32" s="30" t="s">
        <v>38</v>
      </c>
      <c r="C32" s="39">
        <f>123.75*12</f>
        <v>1485</v>
      </c>
      <c r="D32" s="40" t="s">
        <v>37</v>
      </c>
      <c r="E32" s="28" t="s">
        <v>15</v>
      </c>
    </row>
    <row r="33" spans="2:8" x14ac:dyDescent="0.25">
      <c r="B33" s="30" t="s">
        <v>39</v>
      </c>
      <c r="C33" s="39">
        <f>150*12</f>
        <v>1800</v>
      </c>
      <c r="D33" s="40" t="s">
        <v>40</v>
      </c>
      <c r="E33" s="28" t="s">
        <v>15</v>
      </c>
    </row>
    <row r="34" spans="2:8" x14ac:dyDescent="0.25">
      <c r="B34" s="30" t="s">
        <v>41</v>
      </c>
      <c r="C34" s="39">
        <f>137.5*12</f>
        <v>1650</v>
      </c>
      <c r="D34" s="40" t="s">
        <v>35</v>
      </c>
      <c r="E34" s="28" t="s">
        <v>15</v>
      </c>
    </row>
    <row r="35" spans="2:8" x14ac:dyDescent="0.25">
      <c r="B35" s="41" t="s">
        <v>42</v>
      </c>
      <c r="C35" s="39">
        <v>0</v>
      </c>
      <c r="D35" s="40"/>
      <c r="E35" s="28"/>
      <c r="G35" s="3" t="s">
        <v>43</v>
      </c>
    </row>
    <row r="36" spans="2:8" ht="18.75" x14ac:dyDescent="0.25">
      <c r="B36" s="42" t="s">
        <v>44</v>
      </c>
      <c r="C36" s="43">
        <f>C27+C28+C35</f>
        <v>422797.20001199993</v>
      </c>
      <c r="D36" s="40"/>
      <c r="E36" s="28"/>
    </row>
    <row r="37" spans="2:8" ht="31.5" x14ac:dyDescent="0.25">
      <c r="B37" s="44" t="s">
        <v>45</v>
      </c>
      <c r="C37" s="45" t="s">
        <v>10</v>
      </c>
      <c r="D37" s="46" t="s">
        <v>46</v>
      </c>
      <c r="E37" s="28"/>
    </row>
    <row r="38" spans="2:8" ht="15.75" x14ac:dyDescent="0.25">
      <c r="B38" s="47" t="s">
        <v>47</v>
      </c>
      <c r="C38" s="26"/>
      <c r="D38" s="48"/>
      <c r="E38" s="28"/>
      <c r="H38" s="49"/>
    </row>
    <row r="39" spans="2:8" ht="38.25" x14ac:dyDescent="0.25">
      <c r="B39" s="50" t="s">
        <v>48</v>
      </c>
      <c r="C39" s="51">
        <f>(0.66*((3221+200)*1.15*1.5*1.083*1.302)+0.084*1388.31)*12</f>
        <v>67302.660988332005</v>
      </c>
      <c r="D39" s="52" t="s">
        <v>49</v>
      </c>
      <c r="E39" s="28" t="s">
        <v>50</v>
      </c>
      <c r="H39" s="53"/>
    </row>
    <row r="40" spans="2:8" ht="15.75" x14ac:dyDescent="0.25">
      <c r="B40" s="50" t="s">
        <v>51</v>
      </c>
      <c r="C40" s="51">
        <f>0*8618.11*12</f>
        <v>0</v>
      </c>
      <c r="D40" s="52" t="s">
        <v>52</v>
      </c>
      <c r="E40" s="28"/>
      <c r="H40" s="53"/>
    </row>
    <row r="41" spans="2:8" ht="25.5" x14ac:dyDescent="0.25">
      <c r="B41" s="50" t="s">
        <v>53</v>
      </c>
      <c r="C41" s="51">
        <f>((0*8618.11)+0*10.20529)*12</f>
        <v>0</v>
      </c>
      <c r="D41" s="52" t="s">
        <v>54</v>
      </c>
      <c r="E41" s="28"/>
      <c r="H41" s="53"/>
    </row>
    <row r="42" spans="2:8" s="54" customFormat="1" ht="38.25" x14ac:dyDescent="0.25">
      <c r="B42" s="50" t="s">
        <v>55</v>
      </c>
      <c r="C42" s="39">
        <f>256.74*0.02*133*6+270.7*0.02*133*6</f>
        <v>8417.9423999999999</v>
      </c>
      <c r="D42" s="40" t="s">
        <v>56</v>
      </c>
      <c r="E42" s="24" t="s">
        <v>57</v>
      </c>
      <c r="H42" s="53"/>
    </row>
    <row r="43" spans="2:8" ht="15.75" x14ac:dyDescent="0.25">
      <c r="B43" s="50" t="s">
        <v>58</v>
      </c>
      <c r="C43" s="39">
        <f>16.86*62*2</f>
        <v>2090.64</v>
      </c>
      <c r="D43" s="55" t="s">
        <v>59</v>
      </c>
      <c r="E43" s="28" t="s">
        <v>60</v>
      </c>
      <c r="H43" s="53"/>
    </row>
    <row r="44" spans="2:8" ht="25.5" x14ac:dyDescent="0.25">
      <c r="B44" s="50" t="s">
        <v>61</v>
      </c>
      <c r="C44" s="39">
        <f>4*49.72*0</f>
        <v>0</v>
      </c>
      <c r="D44" s="55" t="s">
        <v>62</v>
      </c>
      <c r="E44" s="28"/>
      <c r="H44" s="53"/>
    </row>
    <row r="45" spans="2:8" ht="51" x14ac:dyDescent="0.25">
      <c r="B45" s="50" t="s">
        <v>63</v>
      </c>
      <c r="C45" s="56">
        <f>((6*0.24*(87.5+191))+(6*0.25*(87.5+191)))</f>
        <v>818.79</v>
      </c>
      <c r="D45" s="57" t="s">
        <v>64</v>
      </c>
      <c r="E45" s="28" t="s">
        <v>15</v>
      </c>
      <c r="H45" s="53"/>
    </row>
    <row r="46" spans="2:8" ht="63.75" x14ac:dyDescent="0.25">
      <c r="B46" s="58" t="s">
        <v>65</v>
      </c>
      <c r="C46" s="56">
        <f>(2*2.22*(87.5+191))+(2*2.34*(87.5+191))</f>
        <v>2539.92</v>
      </c>
      <c r="D46" s="57" t="s">
        <v>66</v>
      </c>
      <c r="E46" s="28" t="s">
        <v>67</v>
      </c>
      <c r="H46" s="53"/>
    </row>
    <row r="47" spans="2:8" ht="25.5" x14ac:dyDescent="0.25">
      <c r="B47" s="25" t="s">
        <v>68</v>
      </c>
      <c r="C47" s="59">
        <f>(820.25*6+865.34*6)/1.18</f>
        <v>8570.7966101694929</v>
      </c>
      <c r="D47" s="57" t="s">
        <v>69</v>
      </c>
      <c r="E47" s="28" t="s">
        <v>15</v>
      </c>
      <c r="H47" s="53"/>
    </row>
    <row r="48" spans="2:8" ht="15.75" x14ac:dyDescent="0.25">
      <c r="B48" s="25" t="s">
        <v>70</v>
      </c>
      <c r="C48" s="59">
        <f>491.47/1.18*12*0</f>
        <v>0</v>
      </c>
      <c r="D48" s="57" t="s">
        <v>71</v>
      </c>
      <c r="E48" s="28"/>
      <c r="H48" s="53"/>
    </row>
    <row r="49" spans="2:8" ht="15.75" x14ac:dyDescent="0.25">
      <c r="B49" s="25" t="s">
        <v>72</v>
      </c>
      <c r="C49" s="59">
        <f>0*2*12</f>
        <v>0</v>
      </c>
      <c r="D49" s="60" t="s">
        <v>73</v>
      </c>
      <c r="E49" s="28"/>
      <c r="H49" s="53"/>
    </row>
    <row r="50" spans="2:8" ht="51" x14ac:dyDescent="0.25">
      <c r="B50" s="25" t="s">
        <v>74</v>
      </c>
      <c r="C50" s="26">
        <f>(127.11*1.65/12*133*6)+(144.83*1.65/12*133*6)</f>
        <v>29838.6165</v>
      </c>
      <c r="D50" s="27" t="s">
        <v>75</v>
      </c>
      <c r="E50" s="28" t="s">
        <v>57</v>
      </c>
      <c r="H50" s="53"/>
    </row>
    <row r="51" spans="2:8" ht="25.5" x14ac:dyDescent="0.25">
      <c r="B51" s="25" t="s">
        <v>76</v>
      </c>
      <c r="C51" s="61">
        <f>11.71*(178.32*6+179.77*6)</f>
        <v>25159.403400000003</v>
      </c>
      <c r="D51" s="27" t="s">
        <v>77</v>
      </c>
      <c r="E51" s="28" t="s">
        <v>57</v>
      </c>
      <c r="H51" s="53"/>
    </row>
    <row r="52" spans="2:8" ht="15.75" x14ac:dyDescent="0.25">
      <c r="B52" s="62" t="s">
        <v>78</v>
      </c>
      <c r="C52" s="63">
        <f>C39+C40+C41+C42+C43+C44+C45+C46+C47+C48+C49+C50+C51</f>
        <v>144738.76989850149</v>
      </c>
      <c r="D52" s="64"/>
      <c r="E52" s="28"/>
    </row>
    <row r="53" spans="2:8" x14ac:dyDescent="0.25">
      <c r="B53" s="50" t="s">
        <v>79</v>
      </c>
      <c r="C53" s="39"/>
      <c r="D53" s="40"/>
      <c r="E53" s="28"/>
    </row>
    <row r="54" spans="2:8" s="67" customFormat="1" ht="38.25" x14ac:dyDescent="0.2">
      <c r="B54" s="65" t="s">
        <v>80</v>
      </c>
      <c r="C54" s="39">
        <f>(10.09*86.9979+1.53*(C12+C13))*12</f>
        <v>66085.557732000001</v>
      </c>
      <c r="D54" s="40" t="s">
        <v>81</v>
      </c>
      <c r="E54" s="66"/>
    </row>
    <row r="55" spans="2:8" x14ac:dyDescent="0.25">
      <c r="B55" s="58" t="s">
        <v>82</v>
      </c>
      <c r="C55" s="39">
        <f>13.82*1020</f>
        <v>14096.4</v>
      </c>
      <c r="D55" s="68" t="s">
        <v>83</v>
      </c>
      <c r="E55" s="28" t="s">
        <v>84</v>
      </c>
    </row>
    <row r="56" spans="2:8" ht="114.75" x14ac:dyDescent="0.25">
      <c r="B56" s="69" t="s">
        <v>85</v>
      </c>
      <c r="C56" s="70">
        <v>0</v>
      </c>
      <c r="D56" s="40"/>
      <c r="E56" s="28"/>
    </row>
    <row r="57" spans="2:8" ht="53.25" customHeight="1" x14ac:dyDescent="0.25">
      <c r="B57" s="50" t="s">
        <v>86</v>
      </c>
      <c r="C57" s="71">
        <f>(586.14+223.96/3)*11890/1000</f>
        <v>7856.8327333333327</v>
      </c>
      <c r="D57" s="40" t="s">
        <v>87</v>
      </c>
      <c r="E57" s="72" t="s">
        <v>88</v>
      </c>
    </row>
    <row r="58" spans="2:8" ht="38.25" x14ac:dyDescent="0.25">
      <c r="B58" s="73" t="s">
        <v>89</v>
      </c>
      <c r="C58" s="39">
        <f>(375.79*86.9979)+(375.79*86.9979/1.302)*0.25</f>
        <v>38970.387239041476</v>
      </c>
      <c r="D58" s="40" t="s">
        <v>90</v>
      </c>
      <c r="E58" s="28"/>
    </row>
    <row r="59" spans="2:8" ht="15.75" x14ac:dyDescent="0.25">
      <c r="B59" s="74" t="s">
        <v>91</v>
      </c>
      <c r="C59" s="63">
        <f>C54+C55+C56+C57+C58</f>
        <v>127009.1777043748</v>
      </c>
      <c r="D59" s="64"/>
      <c r="E59" s="28"/>
    </row>
    <row r="60" spans="2:8" x14ac:dyDescent="0.25">
      <c r="B60" s="73" t="s">
        <v>92</v>
      </c>
      <c r="C60" s="39"/>
      <c r="D60" s="40"/>
      <c r="E60" s="28"/>
    </row>
    <row r="61" spans="2:8" s="54" customFormat="1" ht="12.75" x14ac:dyDescent="0.2">
      <c r="B61" s="75" t="s">
        <v>93</v>
      </c>
      <c r="C61" s="76">
        <v>0</v>
      </c>
      <c r="D61" s="77">
        <v>0</v>
      </c>
      <c r="E61" s="24"/>
    </row>
    <row r="62" spans="2:8" x14ac:dyDescent="0.25">
      <c r="B62" s="73" t="s">
        <v>94</v>
      </c>
      <c r="C62" s="26">
        <v>0</v>
      </c>
      <c r="D62" s="78"/>
      <c r="E62" s="28"/>
    </row>
    <row r="63" spans="2:8" x14ac:dyDescent="0.25">
      <c r="B63" s="73" t="s">
        <v>95</v>
      </c>
      <c r="C63" s="26"/>
      <c r="D63" s="78"/>
      <c r="E63" s="28"/>
    </row>
    <row r="64" spans="2:8" x14ac:dyDescent="0.25">
      <c r="B64" s="73" t="s">
        <v>96</v>
      </c>
      <c r="C64" s="26"/>
      <c r="D64" s="78"/>
      <c r="E64" s="28"/>
    </row>
    <row r="65" spans="2:8" x14ac:dyDescent="0.25">
      <c r="B65" s="73" t="s">
        <v>97</v>
      </c>
      <c r="C65" s="26"/>
      <c r="D65" s="78"/>
      <c r="E65" s="28"/>
    </row>
    <row r="66" spans="2:8" ht="15.75" x14ac:dyDescent="0.25">
      <c r="B66" s="74" t="s">
        <v>98</v>
      </c>
      <c r="C66" s="79">
        <f>SUM(C61:C65)</f>
        <v>0</v>
      </c>
      <c r="D66" s="80"/>
      <c r="E66" s="28"/>
    </row>
    <row r="67" spans="2:8" ht="25.5" x14ac:dyDescent="0.25">
      <c r="B67" s="81" t="s">
        <v>99</v>
      </c>
      <c r="C67" s="26">
        <f>2.679*(C12+C13)</f>
        <v>8105.8502999999992</v>
      </c>
      <c r="D67" s="78" t="s">
        <v>100</v>
      </c>
      <c r="E67" s="28"/>
    </row>
    <row r="68" spans="2:8" ht="15.75" x14ac:dyDescent="0.25">
      <c r="B68" s="82" t="s">
        <v>101</v>
      </c>
      <c r="C68" s="83">
        <f>1.29*(C12+C13)</f>
        <v>3903.1529999999998</v>
      </c>
      <c r="D68" s="84" t="s">
        <v>102</v>
      </c>
      <c r="E68" s="28"/>
      <c r="H68" s="85"/>
    </row>
    <row r="69" spans="2:8" ht="25.5" x14ac:dyDescent="0.25">
      <c r="B69" s="30" t="s">
        <v>103</v>
      </c>
      <c r="C69" s="26">
        <f>(C39+C40+C41+C42+C54+C55+C56+C57+C58)*0.212</f>
        <v>42978.713591653846</v>
      </c>
      <c r="D69" s="78" t="s">
        <v>104</v>
      </c>
      <c r="E69" s="28"/>
    </row>
    <row r="70" spans="2:8" ht="38.25" x14ac:dyDescent="0.25">
      <c r="B70" s="86" t="s">
        <v>105</v>
      </c>
      <c r="C70" s="87">
        <f>(C52+C59+C66+C69)*1.03/(1-0.134*1.03)*0.134</f>
        <v>50393.946237811848</v>
      </c>
      <c r="D70" s="78" t="s">
        <v>106</v>
      </c>
      <c r="E70" s="28" t="s">
        <v>15</v>
      </c>
    </row>
    <row r="71" spans="2:8" ht="15.75" x14ac:dyDescent="0.25">
      <c r="B71" s="88" t="s">
        <v>107</v>
      </c>
      <c r="C71" s="79">
        <f>C67+C68+C69+C70</f>
        <v>105381.66312946568</v>
      </c>
      <c r="D71" s="80"/>
      <c r="E71" s="28"/>
    </row>
    <row r="72" spans="2:8" x14ac:dyDescent="0.25">
      <c r="B72" s="30" t="s">
        <v>108</v>
      </c>
      <c r="C72" s="26">
        <f>(C52+C59+C66+C71)*3%</f>
        <v>11313.88832197026</v>
      </c>
      <c r="D72" s="78"/>
      <c r="E72" s="28"/>
    </row>
    <row r="73" spans="2:8" ht="15.75" x14ac:dyDescent="0.25">
      <c r="B73" s="89" t="s">
        <v>44</v>
      </c>
      <c r="C73" s="90">
        <f>C52+C59+C66+C71+C72</f>
        <v>388443.49905431224</v>
      </c>
      <c r="D73" s="91"/>
      <c r="E73" s="28"/>
    </row>
    <row r="74" spans="2:8" ht="15.75" x14ac:dyDescent="0.25">
      <c r="B74" s="89" t="s">
        <v>109</v>
      </c>
      <c r="C74" s="90">
        <f>C73*1.18</f>
        <v>458363.32888408843</v>
      </c>
      <c r="D74" s="91"/>
      <c r="E74" s="28"/>
    </row>
    <row r="75" spans="2:8" ht="15.75" x14ac:dyDescent="0.25">
      <c r="B75" s="92"/>
      <c r="C75" s="93">
        <f>C36-C74</f>
        <v>-35566.128872088506</v>
      </c>
      <c r="D75" s="94"/>
      <c r="E75" s="28"/>
    </row>
    <row r="76" spans="2:8" ht="45" x14ac:dyDescent="0.25">
      <c r="B76" s="95" t="s">
        <v>110</v>
      </c>
      <c r="C76" s="96">
        <f>C74/(C12+C13)/12</f>
        <v>12.624167654980347</v>
      </c>
      <c r="D76" s="97" t="s">
        <v>111</v>
      </c>
      <c r="E76" s="98"/>
    </row>
    <row r="77" spans="2:8" x14ac:dyDescent="0.25">
      <c r="B77" s="99"/>
      <c r="C77" s="100"/>
      <c r="D77" s="101"/>
      <c r="E77" s="102"/>
    </row>
    <row r="78" spans="2:8" x14ac:dyDescent="0.25">
      <c r="B78" s="103" t="s">
        <v>112</v>
      </c>
      <c r="C78" s="104"/>
      <c r="D78" s="105"/>
    </row>
    <row r="79" spans="2:8" ht="26.25" customHeight="1" x14ac:dyDescent="0.25">
      <c r="B79" s="106" t="s">
        <v>113</v>
      </c>
      <c r="C79" s="106"/>
      <c r="D79" s="106"/>
    </row>
    <row r="80" spans="2:8" ht="24" customHeight="1" x14ac:dyDescent="0.25">
      <c r="B80" s="107" t="s">
        <v>114</v>
      </c>
      <c r="C80" s="107"/>
      <c r="D80" s="107"/>
    </row>
    <row r="81" spans="2:5" x14ac:dyDescent="0.25">
      <c r="B81" s="108"/>
      <c r="C81" s="109"/>
      <c r="D81" s="109"/>
    </row>
    <row r="82" spans="2:5" x14ac:dyDescent="0.25">
      <c r="B82" s="110"/>
      <c r="C82" s="111"/>
      <c r="D82" s="111"/>
    </row>
    <row r="83" spans="2:5" ht="15.75" x14ac:dyDescent="0.25">
      <c r="B83" s="112" t="s">
        <v>115</v>
      </c>
      <c r="C83" s="6"/>
      <c r="D83" s="113" t="s">
        <v>116</v>
      </c>
    </row>
    <row r="84" spans="2:5" x14ac:dyDescent="0.25">
      <c r="B84" s="1"/>
      <c r="C84" s="1"/>
      <c r="D84" s="1"/>
    </row>
    <row r="85" spans="2:5" x14ac:dyDescent="0.25">
      <c r="B85" s="1"/>
      <c r="C85" s="1"/>
      <c r="D85" s="1"/>
    </row>
    <row r="86" spans="2:5" x14ac:dyDescent="0.25">
      <c r="B86" s="1"/>
      <c r="C86" s="1"/>
      <c r="D86" s="1"/>
    </row>
    <row r="87" spans="2:5" x14ac:dyDescent="0.25">
      <c r="B87" s="1"/>
      <c r="C87" s="1"/>
      <c r="D87" s="1"/>
    </row>
    <row r="88" spans="2:5" x14ac:dyDescent="0.25">
      <c r="B88" s="1"/>
      <c r="C88" s="1"/>
      <c r="D88" s="1"/>
    </row>
    <row r="89" spans="2:5" x14ac:dyDescent="0.25">
      <c r="B89" s="1"/>
      <c r="C89" s="1"/>
      <c r="D89" s="1"/>
    </row>
    <row r="90" spans="2:5" x14ac:dyDescent="0.25">
      <c r="B90" s="1"/>
      <c r="C90" s="1"/>
      <c r="D90" s="1"/>
    </row>
    <row r="91" spans="2:5" x14ac:dyDescent="0.25">
      <c r="B91" s="1"/>
      <c r="C91" s="1"/>
      <c r="D91" s="1"/>
    </row>
    <row r="92" spans="2:5" x14ac:dyDescent="0.25">
      <c r="B92" s="1"/>
      <c r="C92" s="1"/>
      <c r="D92" s="1"/>
    </row>
    <row r="93" spans="2:5" s="116" customFormat="1" x14ac:dyDescent="0.25">
      <c r="B93" s="114"/>
      <c r="C93" s="114"/>
      <c r="D93" s="114"/>
      <c r="E93" s="115"/>
    </row>
    <row r="94" spans="2:5" s="116" customFormat="1" x14ac:dyDescent="0.25">
      <c r="B94" s="114"/>
      <c r="C94" s="114"/>
      <c r="D94" s="114"/>
      <c r="E94" s="115"/>
    </row>
    <row r="95" spans="2:5" s="116" customFormat="1" x14ac:dyDescent="0.25">
      <c r="B95" s="114"/>
      <c r="C95" s="114"/>
      <c r="D95" s="114"/>
      <c r="E95" s="115"/>
    </row>
    <row r="96" spans="2:5" s="116" customFormat="1" x14ac:dyDescent="0.25">
      <c r="B96" s="114"/>
      <c r="C96" s="114"/>
      <c r="D96" s="114"/>
      <c r="E96" s="115"/>
    </row>
    <row r="97" spans="2:5" s="116" customFormat="1" x14ac:dyDescent="0.25">
      <c r="B97" s="114"/>
      <c r="C97" s="114"/>
      <c r="D97" s="114"/>
      <c r="E97" s="115"/>
    </row>
    <row r="98" spans="2:5" s="116" customFormat="1" x14ac:dyDescent="0.25">
      <c r="B98" s="114"/>
      <c r="C98" s="114"/>
      <c r="D98" s="114"/>
      <c r="E98" s="115"/>
    </row>
    <row r="99" spans="2:5" s="116" customFormat="1" x14ac:dyDescent="0.25">
      <c r="B99" s="114"/>
      <c r="C99" s="114"/>
      <c r="D99" s="114"/>
      <c r="E99" s="115"/>
    </row>
    <row r="100" spans="2:5" s="116" customFormat="1" x14ac:dyDescent="0.25">
      <c r="B100" s="114"/>
      <c r="C100" s="114"/>
      <c r="D100" s="114"/>
      <c r="E100" s="115"/>
    </row>
  </sheetData>
  <mergeCells count="4">
    <mergeCell ref="B8:D8"/>
    <mergeCell ref="B9:D10"/>
    <mergeCell ref="B79:D79"/>
    <mergeCell ref="B80:D80"/>
  </mergeCells>
  <pageMargins left="0.51181102362204722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Ульяновых21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Systhesizz</dc:creator>
  <cp:lastModifiedBy>Systhesizz</cp:lastModifiedBy>
  <dcterms:created xsi:type="dcterms:W3CDTF">2015-05-19T08:43:57Z</dcterms:created>
  <dcterms:modified xsi:type="dcterms:W3CDTF">2015-05-19T08:44:01Z</dcterms:modified>
</cp:coreProperties>
</file>