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ира 15" sheetId="1" r:id="rId1"/>
  </sheets>
  <calcPr calcId="124519"/>
</workbook>
</file>

<file path=xl/calcChain.xml><?xml version="1.0" encoding="utf-8"?>
<calcChain xmlns="http://schemas.openxmlformats.org/spreadsheetml/2006/main">
  <c r="B55" i="1"/>
  <c r="B50"/>
  <c r="B48"/>
  <c r="B47"/>
  <c r="B35"/>
  <c r="B31"/>
  <c r="B30"/>
  <c r="B11"/>
  <c r="B21"/>
  <c r="B20"/>
  <c r="B17"/>
  <c r="B56"/>
  <c r="B33"/>
  <c r="B67"/>
  <c r="B18"/>
  <c r="B57"/>
  <c r="B66"/>
  <c r="B65"/>
  <c r="B54"/>
  <c r="B49"/>
  <c r="B46"/>
  <c r="B45"/>
  <c r="B44"/>
  <c r="B43"/>
  <c r="B42"/>
  <c r="B41"/>
  <c r="B40"/>
  <c r="B34"/>
  <c r="B32"/>
  <c r="B29"/>
  <c r="B14"/>
  <c r="B13"/>
  <c r="B53" l="1"/>
  <c r="B19"/>
  <c r="B16"/>
  <c r="B51"/>
  <c r="B58" l="1"/>
  <c r="B68" s="1"/>
  <c r="B15"/>
  <c r="B28"/>
  <c r="B37" s="1"/>
  <c r="B69" l="1"/>
  <c r="B70" l="1"/>
  <c r="B71" s="1"/>
  <c r="B72" s="1"/>
  <c r="B73" s="1"/>
  <c r="B75" l="1"/>
  <c r="B74"/>
</calcChain>
</file>

<file path=xl/sharedStrings.xml><?xml version="1.0" encoding="utf-8"?>
<sst xmlns="http://schemas.openxmlformats.org/spreadsheetml/2006/main" count="140" uniqueCount="129">
  <si>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</si>
  <si>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</si>
  <si>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</si>
  <si>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</si>
  <si>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</si>
  <si>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</si>
  <si>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Тех.обслуживание</t>
  </si>
  <si>
    <t>Вывоз мусора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</si>
  <si>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</si>
  <si>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</si>
  <si>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</si>
  <si>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</si>
  <si>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</si>
  <si>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</si>
  <si>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</si>
  <si>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</si>
  <si>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</si>
  <si>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</si>
  <si>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</si>
  <si>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</si>
  <si>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</si>
  <si>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</si>
  <si>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</si>
  <si>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</si>
  <si>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</si>
  <si>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</si>
  <si>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</si>
  <si>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</si>
  <si>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</si>
  <si>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</si>
  <si>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</si>
  <si>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</si>
  <si>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</si>
  <si>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</si>
  <si>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</si>
  <si>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</si>
  <si>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</si>
  <si>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</si>
  <si>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</si>
  <si>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</si>
  <si>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</si>
  <si>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</si>
  <si>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</si>
  <si>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</si>
  <si>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</si>
  <si>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</si>
  <si>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</si>
  <si>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</si>
  <si>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</si>
  <si>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</si>
  <si>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План работ на 2014 год, согласно Постановлению Правительства РФ №731 от 23 сентября 2010г. п.11 пп.б.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</si>
  <si>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</si>
  <si>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</si>
  <si>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</si>
  <si>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</si>
  <si>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</si>
  <si>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</si>
  <si>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</si>
  <si>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</si>
  <si>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</si>
  <si>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</si>
  <si>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0чел*8618,11 руб./чел*12 мес.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</si>
  <si>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</si>
  <si>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</si>
  <si>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</si>
  <si>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</si>
  <si>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</si>
  <si>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</si>
  <si>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</si>
  <si>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</si>
  <si>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</si>
  <si>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</si>
  <si>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</si>
  <si>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</si>
  <si>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</si>
  <si>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</si>
  <si>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</si>
  <si>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</si>
  <si>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</si>
  <si>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</si>
  <si>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</si>
  <si>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</si>
  <si>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</si>
  <si>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</si>
  <si>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</si>
  <si>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</si>
  <si>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</si>
  <si>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</si>
  <si>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</si>
  <si>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</si>
  <si>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</si>
  <si>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</si>
  <si>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</si>
  <si>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</si>
  <si>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</si>
  <si>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</si>
  <si>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</si>
  <si>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0куб.м.*(178,32руб.*1,18*6мес.+179,77руб.*1,18*6мес.)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</si>
  <si>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</si>
  <si>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</si>
  <si>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</si>
  <si>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</si>
  <si>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</si>
  <si>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</si>
  <si>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</si>
  <si>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 xml:space="preserve">         ЖЭУ-69             (с НДС)</t>
  </si>
  <si>
    <t>"ЭРТелеком"</t>
  </si>
  <si>
    <t>Хакимов Азамат Маратович (95,8 кв.м)</t>
  </si>
  <si>
    <t>ИП Зырянов Александр Васильевич(92,1 кв.м)</t>
  </si>
  <si>
    <t>95,8кв.м.*9,78руб.*12мес.</t>
  </si>
  <si>
    <t>92,1кв.м.*9,78руб.*12мес.</t>
  </si>
  <si>
    <t>0,59куб.м.*(178,32руб.*1,18*6мес.+179,77руб.*1,18*6мес.)</t>
  </si>
  <si>
    <t xml:space="preserve">((127,11руб.куб.м.в мес.*112чел.*6мес.*1,65/12)+(144,83 руб./куб.м.в мес.*112чел.*6мес.*1,65/12))*1,18               </t>
  </si>
  <si>
    <t>(256,74руб./куб.м.*0,02куб.м.*112чел.*6мес.)+(270,70руб./куб.м.*0,02куб.м.*112чел.*6мес.)</t>
  </si>
  <si>
    <t>((127,11руб./куб.м..в мес.*112чел.*6мес.*1,65/12)+(144,83 руб./куб.м.в мес.*112чел.*6мес.*1,65/12))</t>
  </si>
  <si>
    <t xml:space="preserve">(586,14руб./куб.м.+223,96/3руб./куб.м.)*15959/1000      </t>
  </si>
  <si>
    <t>(6раз в год*0,24 руб./мес.*530,8кв.м.)+(6раз в год*0,25руб.в мес.*530,8кв.м.)</t>
  </si>
  <si>
    <t>(2 раза в год*2,22руб./мес.*530,8кв.м.)+(2раза в год*2,34руб./мес.*530,8кв.м.)</t>
  </si>
  <si>
    <t>13,82руб./кв.м.*1428кв.м</t>
  </si>
  <si>
    <t>(337,79ч/час*86,9979руб./час)+(337,79ч/час*86,9979руб./час/1,302)*25%</t>
  </si>
  <si>
    <t>2981кв.м.*10,78 руб.*12 мес.</t>
  </si>
  <si>
    <t>(0,78чел.*((3221+200)*1,15*1,5*1,083*1,302)+0,084руб./кв.м.асф.покр.*1556,48кв.м.)*12 мес.</t>
  </si>
  <si>
    <t>16,86 руб.*38вент.*2раза в год</t>
  </si>
  <si>
    <t>0,59куб.м.*(178,32руб.*6мес.+179,77руб.*6мес.)</t>
  </si>
  <si>
    <t>(9,95ч/час*86,9979руб./час.+1,53руб./м.кв.*(2981+187,9кв.м.))*12мес.</t>
  </si>
  <si>
    <t>16,24руб./1кв.м*(2981+187,9кв.м.)</t>
  </si>
  <si>
    <t>2,679руб./кв.м.*(2981+187,9кв.м)</t>
  </si>
  <si>
    <t>1,29руб./кв.м*(2981+187,9кв.м)</t>
  </si>
  <si>
    <t xml:space="preserve">Смета доходов  и расходов на содержание и текущий ремонт общедомового имущества дома № 15,   ул. Мира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</si>
</sst>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00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166" fontId="10" fillId="0" borderId="16" xfId="0" applyNumberFormat="1" applyFont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6" fontId="4" fillId="0" borderId="7" xfId="0" applyNumberFormat="1" applyFont="1" applyFill="1" applyBorder="1" applyAlignment="1">
      <alignment horizontal="left" vertical="center" wrapText="1"/>
    </xf>
    <xf numFmtId="0" fontId="13" fillId="0" borderId="17" xfId="2" applyFont="1" applyBorder="1"/>
    <xf numFmtId="166" fontId="8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85"/>
  <sheetViews>
    <sheetView tabSelected="1" topLeftCell="A58" workbookViewId="0">
      <selection activeCell="A22" sqref="A22:XFD27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47</v>
      </c>
    </row>
    <row r="2" spans="1:6" ht="20.45" customHeight="1">
      <c r="A2" s="1"/>
      <c r="B2" s="1"/>
      <c r="C2" s="1" t="s">
        <v>48</v>
      </c>
    </row>
    <row r="3" spans="1:6" ht="20.45" customHeight="1">
      <c r="A3" s="1"/>
      <c r="B3" s="1"/>
      <c r="C3" s="1" t="s">
        <v>49</v>
      </c>
    </row>
    <row r="4" spans="1:6" ht="20.45" customHeight="1">
      <c r="A4" s="1"/>
      <c r="B4" s="1"/>
      <c r="C4" s="1" t="s">
        <v>88</v>
      </c>
    </row>
    <row r="5" spans="1:6" ht="20.45" customHeight="1">
      <c r="A5" s="1"/>
      <c r="B5" s="1"/>
      <c r="C5" s="1"/>
    </row>
    <row r="6" spans="1:6" ht="40.9" customHeight="1">
      <c r="A6" s="98" t="s">
        <v>50</v>
      </c>
      <c r="B6" s="98"/>
      <c r="C6" s="98"/>
      <c r="D6" s="98"/>
    </row>
    <row r="7" spans="1:6" ht="40.9" customHeight="1">
      <c r="A7" s="99" t="s">
        <v>128</v>
      </c>
      <c r="B7" s="99"/>
      <c r="C7" s="99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2981</v>
      </c>
      <c r="C10" s="4" t="s">
        <v>105</v>
      </c>
    </row>
    <row r="11" spans="1:6" ht="18.600000000000001" customHeight="1">
      <c r="A11" s="3" t="s">
        <v>51</v>
      </c>
      <c r="B11" s="4">
        <f>95.8+92.1</f>
        <v>187.89999999999998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31" t="s">
        <v>52</v>
      </c>
      <c r="E12" s="34" t="s">
        <v>87</v>
      </c>
      <c r="F12" s="33">
        <v>10.78</v>
      </c>
    </row>
    <row r="13" spans="1:6" ht="18.600000000000001" customHeight="1">
      <c r="A13" s="64" t="s">
        <v>4</v>
      </c>
      <c r="B13" s="43">
        <f>B10*F12*12</f>
        <v>385622.16</v>
      </c>
      <c r="C13" s="72" t="s">
        <v>120</v>
      </c>
      <c r="D13" s="7" t="s">
        <v>53</v>
      </c>
      <c r="E13" s="33" t="s">
        <v>76</v>
      </c>
      <c r="F13" s="33">
        <v>2981</v>
      </c>
    </row>
    <row r="14" spans="1:6" ht="65.25" customHeight="1">
      <c r="A14" s="27" t="s">
        <v>5</v>
      </c>
      <c r="B14" s="44">
        <f>((127.11*F15*6*1.65/12)+(144.83*F15*6*1.65/12))*1.18</f>
        <v>29650.162079999998</v>
      </c>
      <c r="C14" s="67" t="s">
        <v>112</v>
      </c>
      <c r="D14" s="8"/>
      <c r="E14" s="33" t="s">
        <v>77</v>
      </c>
      <c r="F14" s="33">
        <v>38</v>
      </c>
    </row>
    <row r="15" spans="1:6" ht="28.15" customHeight="1">
      <c r="A15" s="11" t="s">
        <v>96</v>
      </c>
      <c r="B15" s="44">
        <f>B16+B19+B22+B25</f>
        <v>23547.757547999994</v>
      </c>
      <c r="C15" s="67"/>
      <c r="D15" s="9" t="s">
        <v>53</v>
      </c>
      <c r="E15" s="33" t="s">
        <v>78</v>
      </c>
      <c r="F15" s="33">
        <v>112</v>
      </c>
    </row>
    <row r="16" spans="1:6" ht="33" customHeight="1">
      <c r="A16" s="12" t="s">
        <v>107</v>
      </c>
      <c r="B16" s="44">
        <f>B17+B18</f>
        <v>11243.087999999998</v>
      </c>
      <c r="C16" s="67"/>
      <c r="D16" s="10"/>
      <c r="E16" s="33" t="s">
        <v>79</v>
      </c>
      <c r="F16" s="33">
        <v>15959</v>
      </c>
    </row>
    <row r="17" spans="1:6" ht="33" customHeight="1">
      <c r="A17" s="12" t="s">
        <v>6</v>
      </c>
      <c r="B17" s="45">
        <f>95.8*9.78*12</f>
        <v>11243.087999999998</v>
      </c>
      <c r="C17" s="73" t="s">
        <v>109</v>
      </c>
      <c r="D17" s="10"/>
      <c r="E17" s="33" t="s">
        <v>80</v>
      </c>
      <c r="F17" s="33">
        <v>530.79999999999995</v>
      </c>
    </row>
    <row r="18" spans="1:6" ht="33" customHeight="1">
      <c r="A18" s="12" t="s">
        <v>7</v>
      </c>
      <c r="B18" s="46">
        <f>0*(178.32*1.18*6+179.77*1.18*6)</f>
        <v>0</v>
      </c>
      <c r="C18" s="74" t="s">
        <v>97</v>
      </c>
      <c r="D18" s="10"/>
      <c r="E18" s="33" t="s">
        <v>81</v>
      </c>
      <c r="F18" s="33">
        <v>1428</v>
      </c>
    </row>
    <row r="19" spans="1:6" ht="33" customHeight="1">
      <c r="A19" s="12" t="s">
        <v>108</v>
      </c>
      <c r="B19" s="47">
        <f>B20+B21</f>
        <v>12304.669547999998</v>
      </c>
      <c r="C19" s="75"/>
      <c r="D19" s="10"/>
      <c r="E19" s="33" t="s">
        <v>82</v>
      </c>
      <c r="F19" s="33"/>
    </row>
    <row r="20" spans="1:6" ht="33" customHeight="1">
      <c r="A20" s="12" t="s">
        <v>6</v>
      </c>
      <c r="B20" s="45">
        <f>92.1*9.78*12</f>
        <v>10808.855999999998</v>
      </c>
      <c r="C20" s="73" t="s">
        <v>110</v>
      </c>
      <c r="D20" s="10"/>
      <c r="E20" s="33" t="s">
        <v>83</v>
      </c>
      <c r="F20" s="33"/>
    </row>
    <row r="21" spans="1:6" ht="33" customHeight="1">
      <c r="A21" s="12" t="s">
        <v>7</v>
      </c>
      <c r="B21" s="46">
        <f>0.59*(178.32*1.18*6+179.77*1.18*6)</f>
        <v>1495.8135479999999</v>
      </c>
      <c r="C21" s="74" t="s">
        <v>111</v>
      </c>
      <c r="D21" s="10"/>
      <c r="E21" s="33" t="s">
        <v>84</v>
      </c>
      <c r="F21" s="33">
        <v>1556.48</v>
      </c>
    </row>
    <row r="22" spans="1:6" ht="6.75" customHeight="1">
      <c r="A22" s="12"/>
      <c r="B22" s="47"/>
      <c r="C22" s="75"/>
      <c r="D22" s="10"/>
      <c r="E22" s="33" t="s">
        <v>85</v>
      </c>
      <c r="F22" s="33"/>
    </row>
    <row r="23" spans="1:6" ht="6.75" customHeight="1">
      <c r="A23" s="12"/>
      <c r="B23" s="45"/>
      <c r="C23" s="73"/>
      <c r="D23" s="10"/>
      <c r="E23" s="33" t="s">
        <v>86</v>
      </c>
      <c r="F23" s="33">
        <v>337.79</v>
      </c>
    </row>
    <row r="24" spans="1:6" ht="6.75" customHeight="1">
      <c r="A24" s="12"/>
      <c r="B24" s="46"/>
      <c r="C24" s="74"/>
      <c r="D24" s="10"/>
      <c r="E24" s="33" t="s">
        <v>91</v>
      </c>
      <c r="F24" s="33">
        <v>9.9499999999999993</v>
      </c>
    </row>
    <row r="25" spans="1:6" ht="6.75" customHeight="1">
      <c r="A25" s="12"/>
      <c r="B25" s="46"/>
      <c r="C25" s="67"/>
      <c r="D25" s="9"/>
      <c r="E25" s="33" t="s">
        <v>92</v>
      </c>
      <c r="F25" s="33">
        <v>0.78</v>
      </c>
    </row>
    <row r="26" spans="1:6" ht="6.75" customHeight="1">
      <c r="A26" s="12"/>
      <c r="B26" s="45"/>
      <c r="C26" s="73"/>
      <c r="D26" s="94"/>
      <c r="E26" s="35" t="s">
        <v>93</v>
      </c>
      <c r="F26" s="35"/>
    </row>
    <row r="27" spans="1:6" ht="6.75" customHeight="1">
      <c r="A27" s="12"/>
      <c r="B27" s="46"/>
      <c r="C27" s="92"/>
      <c r="D27" s="8"/>
      <c r="E27" s="93" t="s">
        <v>94</v>
      </c>
      <c r="F27" s="36"/>
    </row>
    <row r="28" spans="1:6" ht="18.600000000000001" customHeight="1">
      <c r="A28" s="65" t="s">
        <v>8</v>
      </c>
      <c r="B28" s="48">
        <f>B13+B15</f>
        <v>409169.917548</v>
      </c>
      <c r="C28" s="75"/>
      <c r="D28" s="8"/>
    </row>
    <row r="29" spans="1:6" ht="35.25" customHeight="1">
      <c r="A29" s="11" t="s">
        <v>9</v>
      </c>
      <c r="B29" s="48">
        <f>B30+B31+B32+B33+B34+B35</f>
        <v>3285</v>
      </c>
      <c r="C29" s="75"/>
      <c r="D29" s="32"/>
    </row>
    <row r="30" spans="1:6" ht="18.600000000000001" customHeight="1">
      <c r="A30" s="12" t="s">
        <v>10</v>
      </c>
      <c r="B30" s="48">
        <f>34.98*12*0</f>
        <v>0</v>
      </c>
      <c r="C30" s="75" t="s">
        <v>11</v>
      </c>
      <c r="D30" s="9"/>
    </row>
    <row r="31" spans="1:6" ht="18.600000000000001" customHeight="1">
      <c r="A31" s="12" t="s">
        <v>12</v>
      </c>
      <c r="B31" s="48">
        <f>137.5*12*0</f>
        <v>0</v>
      </c>
      <c r="C31" s="75" t="s">
        <v>13</v>
      </c>
      <c r="D31" s="9"/>
    </row>
    <row r="32" spans="1:6" ht="32.450000000000003" customHeight="1">
      <c r="A32" s="12" t="s">
        <v>14</v>
      </c>
      <c r="B32" s="48">
        <f>123.75*12</f>
        <v>1485</v>
      </c>
      <c r="C32" s="75" t="s">
        <v>15</v>
      </c>
      <c r="D32" s="9"/>
    </row>
    <row r="33" spans="1:4" ht="15">
      <c r="A33" s="12" t="s">
        <v>106</v>
      </c>
      <c r="B33" s="48">
        <f>123.75*12*0</f>
        <v>0</v>
      </c>
      <c r="C33" s="75" t="s">
        <v>15</v>
      </c>
      <c r="D33" s="9"/>
    </row>
    <row r="34" spans="1:4" ht="15">
      <c r="A34" s="12" t="s">
        <v>16</v>
      </c>
      <c r="B34" s="48">
        <f>150*12</f>
        <v>1800</v>
      </c>
      <c r="C34" s="75" t="s">
        <v>17</v>
      </c>
      <c r="D34" s="9"/>
    </row>
    <row r="35" spans="1:4" ht="15">
      <c r="A35" s="12" t="s">
        <v>101</v>
      </c>
      <c r="B35" s="48">
        <f>137.5*12*0</f>
        <v>0</v>
      </c>
      <c r="C35" s="75" t="s">
        <v>102</v>
      </c>
      <c r="D35" s="9"/>
    </row>
    <row r="36" spans="1:4" ht="15">
      <c r="A36" s="11" t="s">
        <v>18</v>
      </c>
      <c r="B36" s="48">
        <v>0</v>
      </c>
      <c r="C36" s="75"/>
      <c r="D36" s="9"/>
    </row>
    <row r="37" spans="1:4" ht="15">
      <c r="A37" s="66" t="s">
        <v>19</v>
      </c>
      <c r="B37" s="49">
        <f>B28+B29+B36</f>
        <v>412454.917548</v>
      </c>
      <c r="C37" s="75"/>
      <c r="D37" s="9"/>
    </row>
    <row r="38" spans="1:4" ht="35.25" customHeight="1">
      <c r="A38" s="66" t="s">
        <v>20</v>
      </c>
      <c r="B38" s="13" t="s">
        <v>2</v>
      </c>
      <c r="C38" s="14" t="s">
        <v>21</v>
      </c>
      <c r="D38" s="15"/>
    </row>
    <row r="39" spans="1:4" ht="15">
      <c r="A39" s="67" t="s">
        <v>22</v>
      </c>
      <c r="B39" s="44"/>
      <c r="C39" s="67"/>
      <c r="D39" s="15"/>
    </row>
    <row r="40" spans="1:4" ht="45">
      <c r="A40" s="12" t="s">
        <v>23</v>
      </c>
      <c r="B40" s="50">
        <f>(F25*((3221+200)*1.15*1.5*1.083*1.302)+0.084*F21)*12</f>
        <v>79454.584440755978</v>
      </c>
      <c r="C40" s="77" t="s">
        <v>121</v>
      </c>
      <c r="D40" s="8" t="s">
        <v>58</v>
      </c>
    </row>
    <row r="41" spans="1:4" ht="15">
      <c r="A41" s="25" t="s">
        <v>60</v>
      </c>
      <c r="B41" s="26">
        <f>0*8618.11*12</f>
        <v>0</v>
      </c>
      <c r="C41" s="78" t="s">
        <v>61</v>
      </c>
      <c r="D41" s="15"/>
    </row>
    <row r="42" spans="1:4" ht="30">
      <c r="A42" s="25" t="s">
        <v>62</v>
      </c>
      <c r="B42" s="26">
        <f>((0*8618.11)+0*10.20529)*12</f>
        <v>0</v>
      </c>
      <c r="C42" s="78" t="s">
        <v>63</v>
      </c>
      <c r="D42" s="8"/>
    </row>
    <row r="43" spans="1:4" ht="45">
      <c r="A43" s="12" t="s">
        <v>24</v>
      </c>
      <c r="B43" s="51">
        <f>(256.74*0.02*F15*6)+(270.7*0.02*F15*6)</f>
        <v>7088.7936</v>
      </c>
      <c r="C43" s="75" t="s">
        <v>113</v>
      </c>
      <c r="D43" s="8" t="s">
        <v>54</v>
      </c>
    </row>
    <row r="44" spans="1:4" ht="20.25" customHeight="1">
      <c r="A44" s="12" t="s">
        <v>25</v>
      </c>
      <c r="B44" s="48">
        <f>16.86*F14*2</f>
        <v>1281.3599999999999</v>
      </c>
      <c r="C44" s="79" t="s">
        <v>122</v>
      </c>
      <c r="D44" s="16" t="s">
        <v>55</v>
      </c>
    </row>
    <row r="45" spans="1:4" ht="44.25" customHeight="1">
      <c r="A45" s="12" t="s">
        <v>26</v>
      </c>
      <c r="B45" s="52">
        <f>((6*0.24*F17)+(6*0.25*F17))</f>
        <v>1560.5519999999997</v>
      </c>
      <c r="C45" s="80" t="s">
        <v>116</v>
      </c>
      <c r="D45" s="16" t="s">
        <v>53</v>
      </c>
    </row>
    <row r="46" spans="1:4" ht="48.75" customHeight="1">
      <c r="A46" s="12" t="s">
        <v>27</v>
      </c>
      <c r="B46" s="52">
        <f>(2*2.22*F17)+(2*2.34*F17)</f>
        <v>4840.8959999999997</v>
      </c>
      <c r="C46" s="80" t="s">
        <v>117</v>
      </c>
      <c r="D46" s="16" t="s">
        <v>59</v>
      </c>
    </row>
    <row r="47" spans="1:4" ht="48" customHeight="1">
      <c r="A47" s="42" t="s">
        <v>98</v>
      </c>
      <c r="B47" s="52">
        <f>((820.25/1.18*6)+(865.34/1.18*6))*0</f>
        <v>0</v>
      </c>
      <c r="C47" s="81" t="s">
        <v>99</v>
      </c>
      <c r="D47" s="40" t="s">
        <v>100</v>
      </c>
    </row>
    <row r="48" spans="1:4" ht="48.75" customHeight="1">
      <c r="A48" s="27" t="s">
        <v>103</v>
      </c>
      <c r="B48" s="52">
        <f>((617.13/1.18*6)+(651.07/1.18*6))*0</f>
        <v>0</v>
      </c>
      <c r="C48" s="80" t="s">
        <v>104</v>
      </c>
      <c r="D48" s="16"/>
    </row>
    <row r="49" spans="1:4" ht="63" customHeight="1">
      <c r="A49" s="68" t="s">
        <v>28</v>
      </c>
      <c r="B49" s="53">
        <f>(127.11*F15*6*1.65/12)+(144.83*F15*6*1.65/12)</f>
        <v>25127.256000000001</v>
      </c>
      <c r="C49" s="73" t="s">
        <v>114</v>
      </c>
      <c r="D49" s="41" t="s">
        <v>53</v>
      </c>
    </row>
    <row r="50" spans="1:4" ht="39" customHeight="1">
      <c r="A50" s="27" t="s">
        <v>29</v>
      </c>
      <c r="B50" s="54">
        <f>0.59*(178.32*6+179.77*6)</f>
        <v>1267.6386</v>
      </c>
      <c r="C50" s="74" t="s">
        <v>123</v>
      </c>
      <c r="D50" s="16" t="s">
        <v>53</v>
      </c>
    </row>
    <row r="51" spans="1:4" ht="36.6" customHeight="1">
      <c r="A51" s="66" t="s">
        <v>30</v>
      </c>
      <c r="B51" s="48">
        <f>B40+B43+B44+B45+B46+B49+B50+B41+B42+B47+B48</f>
        <v>120621.08064075597</v>
      </c>
      <c r="C51" s="75"/>
      <c r="D51" s="16"/>
    </row>
    <row r="52" spans="1:4" ht="36.6" customHeight="1">
      <c r="A52" s="12" t="s">
        <v>31</v>
      </c>
      <c r="B52" s="48"/>
      <c r="C52" s="75"/>
      <c r="D52" s="16"/>
    </row>
    <row r="53" spans="1:4" ht="36.6" customHeight="1">
      <c r="A53" s="69" t="s">
        <v>32</v>
      </c>
      <c r="B53" s="55">
        <f>(F24*86.9979+1.53*(B10+B11))*12</f>
        <v>68568.553260000001</v>
      </c>
      <c r="C53" s="82" t="s">
        <v>124</v>
      </c>
      <c r="D53" s="8" t="s">
        <v>54</v>
      </c>
    </row>
    <row r="54" spans="1:4" ht="23.25" customHeight="1">
      <c r="A54" s="12" t="s">
        <v>33</v>
      </c>
      <c r="B54" s="55">
        <f>13.82*F18</f>
        <v>19734.96</v>
      </c>
      <c r="C54" s="82" t="s">
        <v>118</v>
      </c>
      <c r="D54" s="16" t="s">
        <v>56</v>
      </c>
    </row>
    <row r="55" spans="1:4" ht="169.5" customHeight="1">
      <c r="A55" s="20" t="s">
        <v>89</v>
      </c>
      <c r="B55" s="48">
        <f>16.24*(B10+B11)*0</f>
        <v>0</v>
      </c>
      <c r="C55" s="75" t="s">
        <v>125</v>
      </c>
      <c r="D55" s="8"/>
    </row>
    <row r="56" spans="1:4" ht="36.6" customHeight="1">
      <c r="A56" s="12" t="s">
        <v>34</v>
      </c>
      <c r="B56" s="48">
        <f>(586.14+223.96/3)*F16/1000</f>
        <v>10545.600806666667</v>
      </c>
      <c r="C56" s="75" t="s">
        <v>115</v>
      </c>
      <c r="D56" s="15" t="s">
        <v>57</v>
      </c>
    </row>
    <row r="57" spans="1:4" ht="36.6" customHeight="1">
      <c r="A57" s="12" t="s">
        <v>35</v>
      </c>
      <c r="B57" s="52">
        <f>(F23*86.9979)+(F23*86.9979/1.302)*0.25</f>
        <v>35029.689734894011</v>
      </c>
      <c r="C57" s="83" t="s">
        <v>119</v>
      </c>
      <c r="D57" s="56"/>
    </row>
    <row r="58" spans="1:4" ht="21" customHeight="1">
      <c r="A58" s="66" t="s">
        <v>36</v>
      </c>
      <c r="B58" s="48">
        <f>B53+B54+B55+B56+B57</f>
        <v>133878.80380156069</v>
      </c>
      <c r="C58" s="75"/>
      <c r="D58" s="56"/>
    </row>
    <row r="59" spans="1:4" ht="18" customHeight="1">
      <c r="A59" s="12" t="s">
        <v>37</v>
      </c>
      <c r="B59" s="48"/>
      <c r="C59" s="75"/>
      <c r="D59" s="56"/>
    </row>
    <row r="60" spans="1:4" ht="95.25" customHeight="1">
      <c r="A60" s="70" t="s">
        <v>95</v>
      </c>
      <c r="B60" s="57"/>
      <c r="C60" s="76"/>
      <c r="D60" s="56"/>
    </row>
    <row r="61" spans="1:4" ht="15" customHeight="1">
      <c r="A61" s="12" t="s">
        <v>38</v>
      </c>
      <c r="B61" s="44"/>
      <c r="C61" s="84"/>
      <c r="D61" s="15"/>
    </row>
    <row r="62" spans="1:4" ht="16.5" customHeight="1">
      <c r="A62" s="12" t="s">
        <v>39</v>
      </c>
      <c r="B62" s="44"/>
      <c r="C62" s="84"/>
      <c r="D62" s="15"/>
    </row>
    <row r="63" spans="1:4" ht="16.5" customHeight="1">
      <c r="A63" s="12" t="s">
        <v>40</v>
      </c>
      <c r="B63" s="44"/>
      <c r="C63" s="84"/>
      <c r="D63" s="9"/>
    </row>
    <row r="64" spans="1:4" ht="16.5" customHeight="1">
      <c r="A64" s="12" t="s">
        <v>41</v>
      </c>
      <c r="B64" s="44"/>
      <c r="C64" s="84"/>
      <c r="D64" s="9"/>
    </row>
    <row r="65" spans="1:4" ht="16.5" customHeight="1">
      <c r="A65" s="66" t="s">
        <v>42</v>
      </c>
      <c r="B65" s="44">
        <f>B60+B62</f>
        <v>0</v>
      </c>
      <c r="C65" s="84"/>
      <c r="D65" s="9"/>
    </row>
    <row r="66" spans="1:4" ht="17.25" customHeight="1">
      <c r="A66" s="12" t="s">
        <v>43</v>
      </c>
      <c r="B66" s="44">
        <f>2.679*(B10+B11)</f>
        <v>8489.4830999999995</v>
      </c>
      <c r="C66" s="84" t="s">
        <v>126</v>
      </c>
      <c r="D66" s="16" t="s">
        <v>53</v>
      </c>
    </row>
    <row r="67" spans="1:4" ht="17.25" customHeight="1">
      <c r="A67" s="71" t="s">
        <v>44</v>
      </c>
      <c r="B67" s="58">
        <f>1.29*(B10+B11)</f>
        <v>4087.8810000000003</v>
      </c>
      <c r="C67" s="85" t="s">
        <v>127</v>
      </c>
      <c r="D67" s="9"/>
    </row>
    <row r="68" spans="1:4" ht="30">
      <c r="A68" s="27" t="s">
        <v>64</v>
      </c>
      <c r="B68" s="59">
        <f>(B51+B58)*0.212</f>
        <v>53953.975501771129</v>
      </c>
      <c r="C68" s="86" t="s">
        <v>65</v>
      </c>
      <c r="D68" s="60"/>
    </row>
    <row r="69" spans="1:4" ht="45">
      <c r="A69" s="28" t="s">
        <v>66</v>
      </c>
      <c r="B69" s="15">
        <f>(B51+B58+B65+B68)*1.03/(1-0.134*1.03)*0.134</f>
        <v>49389.547030653848</v>
      </c>
      <c r="C69" s="87" t="s">
        <v>67</v>
      </c>
      <c r="D69" s="61" t="s">
        <v>68</v>
      </c>
    </row>
    <row r="70" spans="1:4" ht="15">
      <c r="A70" s="66" t="s">
        <v>90</v>
      </c>
      <c r="B70" s="44">
        <f>B66+B67+B68+B69</f>
        <v>115920.88663242497</v>
      </c>
      <c r="C70" s="84"/>
      <c r="D70" s="9"/>
    </row>
    <row r="71" spans="1:4" ht="15" customHeight="1">
      <c r="A71" s="12" t="s">
        <v>45</v>
      </c>
      <c r="B71" s="44">
        <f>(B51+B58+B65+B70)*3%</f>
        <v>11112.623132242248</v>
      </c>
      <c r="C71" s="84"/>
      <c r="D71" s="8"/>
    </row>
    <row r="72" spans="1:4" ht="17.25" customHeight="1">
      <c r="A72" s="66" t="s">
        <v>19</v>
      </c>
      <c r="B72" s="62">
        <f>B51+B58+B65+B70+B71</f>
        <v>381533.39420698385</v>
      </c>
      <c r="C72" s="88"/>
      <c r="D72" s="8"/>
    </row>
    <row r="73" spans="1:4" ht="20.25" customHeight="1">
      <c r="A73" s="21" t="s">
        <v>75</v>
      </c>
      <c r="B73" s="22">
        <f>B72*1.18</f>
        <v>450209.40516424092</v>
      </c>
      <c r="C73" s="89"/>
      <c r="D73" s="8"/>
    </row>
    <row r="74" spans="1:4" ht="15">
      <c r="A74" s="12"/>
      <c r="B74" s="63">
        <f>B37-B73</f>
        <v>-37754.48761624092</v>
      </c>
      <c r="C74" s="90"/>
      <c r="D74" s="32"/>
    </row>
    <row r="75" spans="1:4" ht="42.75">
      <c r="A75" s="29" t="s">
        <v>69</v>
      </c>
      <c r="B75" s="30">
        <f>B73/(B10+B11)/12</f>
        <v>11.839266127158766</v>
      </c>
      <c r="C75" s="91" t="s">
        <v>70</v>
      </c>
      <c r="D75" s="60"/>
    </row>
    <row r="76" spans="1:4" ht="15">
      <c r="A76" s="17"/>
      <c r="B76" s="18"/>
      <c r="C76" s="19"/>
      <c r="D76" s="18"/>
    </row>
    <row r="77" spans="1:4" ht="15">
      <c r="A77" s="18"/>
      <c r="B77" s="18"/>
      <c r="C77" s="18"/>
      <c r="D77" s="18"/>
    </row>
    <row r="78" spans="1:4" ht="15">
      <c r="A78" s="18"/>
      <c r="B78" s="18"/>
      <c r="C78" s="18"/>
      <c r="D78" s="18"/>
    </row>
    <row r="79" spans="1:4" ht="15">
      <c r="A79" s="95" t="s">
        <v>71</v>
      </c>
      <c r="B79" s="95"/>
      <c r="C79" s="95"/>
    </row>
    <row r="80" spans="1:4" ht="30" customHeight="1">
      <c r="A80" s="96" t="s">
        <v>72</v>
      </c>
      <c r="B80" s="96"/>
      <c r="C80" s="96"/>
    </row>
    <row r="81" spans="1:3" ht="33.75" customHeight="1">
      <c r="A81" s="97" t="s">
        <v>73</v>
      </c>
      <c r="B81" s="97"/>
      <c r="C81" s="97"/>
    </row>
    <row r="82" spans="1:3" ht="15">
      <c r="A82" s="23"/>
      <c r="B82" s="24"/>
      <c r="C82" s="1"/>
    </row>
    <row r="83" spans="1:3" ht="15">
      <c r="A83" s="23"/>
      <c r="B83" s="24"/>
      <c r="C83" s="1"/>
    </row>
    <row r="84" spans="1:3" ht="15">
      <c r="A84" s="37"/>
      <c r="B84" s="38"/>
      <c r="C84" s="39"/>
    </row>
    <row r="85" spans="1:3" ht="15">
      <c r="A85" s="37" t="s">
        <v>46</v>
      </c>
      <c r="B85" s="38"/>
      <c r="C85" s="39" t="s">
        <v>74</v>
      </c>
    </row>
  </sheetData>
  <mergeCells count="5">
    <mergeCell ref="A79:C79"/>
    <mergeCell ref="A80:C80"/>
    <mergeCell ref="A81:C81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2015-05-05T04:30:15Z</dcterms:modified>
</cp:coreProperties>
</file>