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Толстого1 норм." sheetId="1" r:id="rId1"/>
  </sheets>
  <calcPr calcId="145621"/>
</workbook>
</file>

<file path=xl/calcChain.xml><?xml version="1.0" encoding="utf-8"?>
<calcChain xmlns="http://schemas.openxmlformats.org/spreadsheetml/2006/main">
  <c r="C13" i="1" l="1"/>
  <c r="C15" i="1"/>
  <c r="C16" i="1"/>
  <c r="C19" i="1"/>
  <c r="C20" i="1"/>
  <c r="C18" i="1" s="1"/>
  <c r="C17" i="1" s="1"/>
  <c r="C24" i="1" s="1"/>
  <c r="C21" i="1"/>
  <c r="C22" i="1"/>
  <c r="C23" i="1"/>
  <c r="C26" i="1"/>
  <c r="C27" i="1"/>
  <c r="C28" i="1"/>
  <c r="C29" i="1"/>
  <c r="C25" i="1" s="1"/>
  <c r="C30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0" i="1"/>
  <c r="C51" i="1"/>
  <c r="C54" i="1"/>
  <c r="C57" i="1" s="1"/>
  <c r="C56" i="1"/>
  <c r="C64" i="1"/>
  <c r="C65" i="1"/>
  <c r="C66" i="1"/>
  <c r="C68" i="1"/>
  <c r="C67" i="1" l="1"/>
  <c r="C32" i="1"/>
  <c r="C69" i="1"/>
  <c r="C70" i="1" l="1"/>
  <c r="C71" i="1" l="1"/>
  <c r="C72" i="1"/>
  <c r="C73" i="1" s="1"/>
  <c r="C74" i="1" s="1"/>
</calcChain>
</file>

<file path=xl/sharedStrings.xml><?xml version="1.0" encoding="utf-8"?>
<sst xmlns="http://schemas.openxmlformats.org/spreadsheetml/2006/main" count="133" uniqueCount="115">
  <si>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</si>
  <si>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</si>
  <si>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</si>
  <si>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</si>
  <si>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</si>
  <si>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</si>
  <si>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</si>
  <si>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</si>
  <si>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</si>
  <si>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</si>
  <si>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</si>
  <si>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</si>
  <si>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</si>
  <si>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0,87 руб./кв.м.*3383кв.м.*12мес.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</si>
  <si>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</si>
  <si>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</si>
  <si>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</si>
  <si>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1,28руб./кв.м*(3383+230,5)кв.м.</t>
  </si>
  <si>
    <t>5.ОДС</t>
  </si>
  <si>
    <t>2,096 руб./кв.м.*(3383+230,5)кв.м.</t>
  </si>
  <si>
    <t>4.Аварийно-ремонтная служба</t>
  </si>
  <si>
    <t>Всего по п.3:</t>
  </si>
  <si>
    <t>.-резерв и непредвиденные затраты</t>
  </si>
  <si>
    <t>.-замена входных дверей</t>
  </si>
  <si>
    <t xml:space="preserve">.-замена эл.проводки </t>
  </si>
  <si>
    <t>.-ремонт откосов</t>
  </si>
  <si>
    <t>.-ремонт лестничных клеток</t>
  </si>
  <si>
    <t>3.Текущий ремонт</t>
  </si>
  <si>
    <t>Всего по п.2:</t>
  </si>
  <si>
    <t>(477,13ч/час*82,67руб./час)+(477,13ч/час*82,67руб./час/1,302)*25%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</si>
  <si>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</si>
  <si>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</si>
  <si>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</si>
  <si>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(560,69руб./куб.м.+(208,49/3)руб./куб.м.)*18067/1000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</si>
  <si>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</si>
  <si>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</si>
  <si>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</si>
  <si>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</si>
  <si>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14,86руб./кв.м.*1538кв.м.</t>
  </si>
  <si>
    <t>-очистка кровли от снега</t>
  </si>
  <si>
    <t>(12,59ч/час*82,67руб./час.+0,518руб./м.кв.*(3383+230,5)кв.м.)*12мес.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</si>
  <si>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</si>
  <si>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</si>
  <si>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</si>
  <si>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</si>
  <si>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0,29куб.м.*176,76руб.*12мес.</t>
  </si>
  <si>
    <t>.-вывоз мусора (арендаторы)</t>
  </si>
  <si>
    <t>((113,78руб./чел.в мес.*134чел.*6мес.*1,65/12)+(127,20 руб./чел.в мес.*134чел.*6мес.*1,65/12))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</si>
  <si>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</si>
  <si>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</si>
  <si>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</si>
  <si>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.-оценка соответствия лифта требованиям технического регламента</t>
  </si>
  <si>
    <t>729,73руб./мес.*12 мес./1,18</t>
  </si>
  <si>
    <t>.-т/о приборов учета тепловой энергии</t>
  </si>
  <si>
    <t>4раза в год</t>
  </si>
  <si>
    <t>(2 раза в год*0,62руб./мес.*1257кв.м.)+(2раза в год*0,65руб./мес.*1257кв.м.)</t>
  </si>
  <si>
    <t>.-дезинсекция</t>
  </si>
  <si>
    <t>(6раз в год*0,21 руб./мес.*1257кв.м.)+(6раз в год*0,22руб.в мес.*1257кв.м.)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</si>
  <si>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</si>
  <si>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</si>
  <si>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</si>
  <si>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</si>
  <si>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(16,21руб.*47вентк.)+(17,07руб.*47вентк.)</t>
  </si>
  <si>
    <t>-очистка вентканалов</t>
  </si>
  <si>
    <t>(266,83руб./куб.м.*0,02куб.м.*134 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</si>
  <si>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</si>
  <si>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</si>
  <si>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</si>
  <si>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</si>
  <si>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</si>
  <si>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</si>
  <si>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(0,79чел.*((3059+200)*1,15*1,5*1,083*1,302)+0,053руб./кв.м.асф.покр.*1754,7кв.м.)*12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</si>
  <si>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</si>
  <si>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</si>
  <si>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</si>
  <si>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</si>
  <si>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</si>
  <si>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</si>
  <si>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</si>
  <si>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150,00руб.*12мес.</t>
  </si>
  <si>
    <t>"Башинформсвязь"</t>
  </si>
  <si>
    <t>123,75руб.*12мес.</t>
  </si>
  <si>
    <t>"Уфанет"</t>
  </si>
  <si>
    <t>"ЭРТелеком"</t>
  </si>
  <si>
    <t>137,50руб.*12мес.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</si>
  <si>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</si>
  <si>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</si>
  <si>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</si>
  <si>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</si>
  <si>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</si>
  <si>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0,29куб.м.*176,76руб.*1,18*12мес.</t>
  </si>
  <si>
    <t>Вывоз мусора</t>
  </si>
  <si>
    <t>59,7кв.м.*10,84руб.*12мес.</t>
  </si>
  <si>
    <t>Тех.обслуживание</t>
  </si>
  <si>
    <t>2) ООО "Савои" (59,7кв.м.)</t>
  </si>
  <si>
    <t>0куб.м.*176,76руб.*1,18*12мес.</t>
  </si>
  <si>
    <t>170,8кв.м.*10,84руб.*12мес.</t>
  </si>
  <si>
    <t>1) МУП "Горзеленхоз" (170,8кв.м.)</t>
  </si>
  <si>
    <t>2. Начисление по нежилым помещениям</t>
  </si>
  <si>
    <t>((113,78руб./чел.в мес.*134чел.*6мес.*1,65/12)+(127,20 руб./чел.в мес.*134чел.*6мес.*1,65/12))*1,18</t>
  </si>
  <si>
    <t>в т. ч. вывоз мусора (население)</t>
  </si>
  <si>
    <t>3383кв.м.*11,86руб.*12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</si>
  <si>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</si>
  <si>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</si>
  <si>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</si>
  <si>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</si>
  <si>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</si>
  <si>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</si>
  <si>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</si>
  <si>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 1,  ул. Л.Толстого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</si>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</sst>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9" fontId="23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7" fillId="0" borderId="0" applyFont="0" applyFill="0" applyBorder="0" applyAlignment="0" applyProtection="0"/>
    <xf numFmtId="41" fontId="23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41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6" fillId="3" borderId="0" xfId="0" applyNumberFormat="1" applyFont="1" applyFill="1"/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164" fontId="8" fillId="3" borderId="3" xfId="1" applyNumberFormat="1" applyFont="1" applyFill="1" applyBorder="1" applyAlignment="1" applyProtection="1">
      <alignment horizontal="center" vertical="center" wrapText="1"/>
    </xf>
    <xf numFmtId="4" fontId="8" fillId="3" borderId="3" xfId="1" applyNumberFormat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4" fontId="9" fillId="3" borderId="3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left" vertical="center"/>
    </xf>
    <xf numFmtId="165" fontId="9" fillId="3" borderId="3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vertical="center"/>
    </xf>
    <xf numFmtId="2" fontId="12" fillId="3" borderId="4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" fontId="12" fillId="4" borderId="6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5" fillId="0" borderId="0" xfId="0" applyFont="1"/>
    <xf numFmtId="0" fontId="15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9" fillId="3" borderId="3" xfId="0" applyFont="1" applyFill="1" applyBorder="1"/>
    <xf numFmtId="0" fontId="9" fillId="3" borderId="2" xfId="0" applyFont="1" applyFill="1" applyBorder="1" applyAlignment="1">
      <alignment vertical="center" wrapText="1"/>
    </xf>
    <xf numFmtId="2" fontId="1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4" fontId="12" fillId="3" borderId="3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9" fillId="4" borderId="3" xfId="2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/>
    </xf>
    <xf numFmtId="0" fontId="9" fillId="3" borderId="3" xfId="2" applyFont="1" applyFill="1" applyBorder="1" applyAlignment="1">
      <alignment vertical="center" wrapText="1"/>
    </xf>
    <xf numFmtId="0" fontId="9" fillId="4" borderId="5" xfId="2" applyFont="1" applyFill="1" applyBorder="1" applyAlignment="1">
      <alignment horizontal="center" vertical="center" wrapText="1"/>
    </xf>
    <xf numFmtId="4" fontId="9" fillId="3" borderId="7" xfId="2" applyNumberFormat="1" applyFont="1" applyFill="1" applyBorder="1" applyAlignment="1">
      <alignment horizontal="center"/>
    </xf>
    <xf numFmtId="0" fontId="9" fillId="3" borderId="5" xfId="2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8" fillId="3" borderId="0" xfId="0" applyFont="1" applyFill="1" applyAlignment="1">
      <alignment horizontal="center" wrapText="1"/>
    </xf>
    <xf numFmtId="2" fontId="22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="130" zoomScaleNormal="130" workbookViewId="0">
      <selection activeCell="E76" sqref="E76"/>
    </sheetView>
  </sheetViews>
  <sheetFormatPr defaultRowHeight="15" x14ac:dyDescent="0.25"/>
  <cols>
    <col min="1" max="1" width="4.28515625" style="1" customWidth="1"/>
    <col min="2" max="2" width="45" style="2" customWidth="1"/>
    <col min="3" max="3" width="14.5703125" style="3" customWidth="1"/>
    <col min="4" max="4" width="33.42578125" style="3" customWidth="1"/>
    <col min="5" max="5" width="19.42578125" style="2" customWidth="1"/>
    <col min="6" max="16384" width="9.140625" style="1"/>
  </cols>
  <sheetData>
    <row r="1" spans="1:5" ht="15.75" x14ac:dyDescent="0.25">
      <c r="A1" s="109"/>
      <c r="B1" s="109"/>
      <c r="C1" s="109"/>
      <c r="D1" s="6"/>
    </row>
    <row r="2" spans="1:5" ht="15.75" x14ac:dyDescent="0.25">
      <c r="B2" s="7"/>
      <c r="C2" s="1"/>
      <c r="D2" s="110" t="s">
        <v>114</v>
      </c>
    </row>
    <row r="3" spans="1:5" ht="15.75" x14ac:dyDescent="0.25">
      <c r="B3" s="7"/>
      <c r="C3" s="6"/>
      <c r="D3" s="110" t="s">
        <v>113</v>
      </c>
    </row>
    <row r="4" spans="1:5" ht="15.75" x14ac:dyDescent="0.25">
      <c r="B4" s="7"/>
      <c r="C4" s="6"/>
      <c r="D4" s="110" t="s">
        <v>112</v>
      </c>
    </row>
    <row r="5" spans="1:5" ht="15.75" x14ac:dyDescent="0.25">
      <c r="B5" s="7"/>
      <c r="C5" s="6"/>
      <c r="D5" s="110"/>
    </row>
    <row r="6" spans="1:5" ht="15.75" x14ac:dyDescent="0.25">
      <c r="B6" s="7"/>
      <c r="C6" s="6"/>
      <c r="D6" s="110" t="s">
        <v>111</v>
      </c>
    </row>
    <row r="7" spans="1:5" ht="15.75" x14ac:dyDescent="0.25">
      <c r="B7" s="7"/>
      <c r="C7" s="6"/>
      <c r="D7" s="110"/>
    </row>
    <row r="8" spans="1:5" ht="31.5" customHeight="1" x14ac:dyDescent="0.25">
      <c r="B8" s="109" t="s">
        <v>110</v>
      </c>
      <c r="C8" s="109"/>
      <c r="D8" s="109"/>
    </row>
    <row r="9" spans="1:5" x14ac:dyDescent="0.25">
      <c r="B9" s="109" t="s">
        <v>109</v>
      </c>
      <c r="C9" s="109"/>
      <c r="D9" s="109"/>
    </row>
    <row r="10" spans="1:5" x14ac:dyDescent="0.25">
      <c r="B10" s="109"/>
      <c r="C10" s="109"/>
      <c r="D10" s="109"/>
    </row>
    <row r="11" spans="1:5" ht="9" customHeight="1" x14ac:dyDescent="0.25">
      <c r="B11" s="108"/>
      <c r="C11" s="107"/>
      <c r="D11" s="107"/>
    </row>
    <row r="12" spans="1:5" ht="15.75" x14ac:dyDescent="0.25">
      <c r="B12" s="106" t="s">
        <v>108</v>
      </c>
      <c r="C12" s="105">
        <v>3383</v>
      </c>
      <c r="D12" s="104" t="s">
        <v>107</v>
      </c>
    </row>
    <row r="13" spans="1:5" s="99" customFormat="1" ht="15.75" x14ac:dyDescent="0.25">
      <c r="B13" s="103" t="s">
        <v>106</v>
      </c>
      <c r="C13" s="102">
        <f>170.8+59.7</f>
        <v>230.5</v>
      </c>
      <c r="D13" s="101"/>
      <c r="E13" s="100"/>
    </row>
    <row r="14" spans="1:5" ht="31.5" x14ac:dyDescent="0.25">
      <c r="B14" s="98" t="s">
        <v>105</v>
      </c>
      <c r="C14" s="79" t="s">
        <v>75</v>
      </c>
      <c r="D14" s="97" t="s">
        <v>104</v>
      </c>
      <c r="E14" s="96" t="s">
        <v>103</v>
      </c>
    </row>
    <row r="15" spans="1:5" x14ac:dyDescent="0.25">
      <c r="B15" s="95" t="s">
        <v>102</v>
      </c>
      <c r="C15" s="94">
        <f>C12*11.86*12</f>
        <v>481468.55999999994</v>
      </c>
      <c r="D15" s="93" t="s">
        <v>101</v>
      </c>
      <c r="E15" s="42" t="s">
        <v>10</v>
      </c>
    </row>
    <row r="16" spans="1:5" ht="51" x14ac:dyDescent="0.25">
      <c r="B16" s="65" t="s">
        <v>100</v>
      </c>
      <c r="C16" s="30">
        <f>((113.78*1.65/12*134*6)+(127.2*1.65/12*134*6))*1.18</f>
        <v>31435.600019999998</v>
      </c>
      <c r="D16" s="63" t="s">
        <v>99</v>
      </c>
      <c r="E16" s="22"/>
    </row>
    <row r="17" spans="2:7" x14ac:dyDescent="0.25">
      <c r="B17" s="52" t="s">
        <v>98</v>
      </c>
      <c r="C17" s="66">
        <f>C18+C21</f>
        <v>30709.287264000006</v>
      </c>
      <c r="D17" s="63"/>
      <c r="E17" s="22"/>
    </row>
    <row r="18" spans="2:7" x14ac:dyDescent="0.25">
      <c r="B18" s="31" t="s">
        <v>97</v>
      </c>
      <c r="C18" s="92">
        <f>C19+C20</f>
        <v>22217.664000000004</v>
      </c>
      <c r="D18" s="91"/>
      <c r="E18" s="22"/>
    </row>
    <row r="19" spans="2:7" x14ac:dyDescent="0.25">
      <c r="B19" s="87" t="s">
        <v>93</v>
      </c>
      <c r="C19" s="89">
        <f>170.8*10.84*12</f>
        <v>22217.664000000004</v>
      </c>
      <c r="D19" s="88" t="s">
        <v>96</v>
      </c>
      <c r="E19" s="22" t="s">
        <v>10</v>
      </c>
    </row>
    <row r="20" spans="2:7" x14ac:dyDescent="0.25">
      <c r="B20" s="87" t="s">
        <v>91</v>
      </c>
      <c r="C20" s="86">
        <f>0*176.76*1.18*12</f>
        <v>0</v>
      </c>
      <c r="D20" s="85" t="s">
        <v>95</v>
      </c>
      <c r="E20" s="22"/>
    </row>
    <row r="21" spans="2:7" x14ac:dyDescent="0.25">
      <c r="B21" s="90" t="s">
        <v>94</v>
      </c>
      <c r="C21" s="86">
        <f>C22+C23</f>
        <v>8491.6232639999998</v>
      </c>
      <c r="D21" s="85"/>
      <c r="E21" s="22"/>
    </row>
    <row r="22" spans="2:7" x14ac:dyDescent="0.25">
      <c r="B22" s="87" t="s">
        <v>93</v>
      </c>
      <c r="C22" s="89">
        <f>59.7*10.84*12</f>
        <v>7765.7759999999998</v>
      </c>
      <c r="D22" s="88" t="s">
        <v>92</v>
      </c>
      <c r="E22" s="22" t="s">
        <v>10</v>
      </c>
    </row>
    <row r="23" spans="2:7" x14ac:dyDescent="0.25">
      <c r="B23" s="87" t="s">
        <v>91</v>
      </c>
      <c r="C23" s="86">
        <f>0.29*176.76*1.18*12</f>
        <v>725.84726399999988</v>
      </c>
      <c r="D23" s="85" t="s">
        <v>90</v>
      </c>
      <c r="E23" s="22" t="s">
        <v>10</v>
      </c>
    </row>
    <row r="24" spans="2:7" ht="15.75" x14ac:dyDescent="0.25">
      <c r="B24" s="84" t="s">
        <v>89</v>
      </c>
      <c r="C24" s="82">
        <f>C15+C17</f>
        <v>512177.84726399992</v>
      </c>
      <c r="D24" s="46"/>
      <c r="E24" s="22"/>
    </row>
    <row r="25" spans="2:7" x14ac:dyDescent="0.25">
      <c r="B25" s="83" t="s">
        <v>88</v>
      </c>
      <c r="C25" s="82">
        <f>C26+C27+C28+C29+C30</f>
        <v>5039.76</v>
      </c>
      <c r="D25" s="46"/>
      <c r="E25" s="22"/>
    </row>
    <row r="26" spans="2:7" x14ac:dyDescent="0.25">
      <c r="B26" s="31" t="s">
        <v>87</v>
      </c>
      <c r="C26" s="82">
        <f>34.98*12</f>
        <v>419.76</v>
      </c>
      <c r="D26" s="46" t="s">
        <v>86</v>
      </c>
      <c r="E26" s="22" t="s">
        <v>10</v>
      </c>
    </row>
    <row r="27" spans="2:7" x14ac:dyDescent="0.25">
      <c r="B27" s="31" t="s">
        <v>85</v>
      </c>
      <c r="C27" s="82">
        <f>137.5*12</f>
        <v>1650</v>
      </c>
      <c r="D27" s="46" t="s">
        <v>84</v>
      </c>
      <c r="E27" s="22" t="s">
        <v>10</v>
      </c>
    </row>
    <row r="28" spans="2:7" x14ac:dyDescent="0.25">
      <c r="B28" s="31" t="s">
        <v>83</v>
      </c>
      <c r="C28" s="82">
        <f>123.75*12</f>
        <v>1485</v>
      </c>
      <c r="D28" s="46" t="s">
        <v>81</v>
      </c>
      <c r="E28" s="22" t="s">
        <v>10</v>
      </c>
    </row>
    <row r="29" spans="2:7" x14ac:dyDescent="0.25">
      <c r="B29" s="31" t="s">
        <v>82</v>
      </c>
      <c r="C29" s="47">
        <f>123.75*12</f>
        <v>1485</v>
      </c>
      <c r="D29" s="46" t="s">
        <v>81</v>
      </c>
      <c r="E29" s="22" t="s">
        <v>10</v>
      </c>
    </row>
    <row r="30" spans="2:7" x14ac:dyDescent="0.25">
      <c r="B30" s="31" t="s">
        <v>80</v>
      </c>
      <c r="C30" s="47">
        <f>0*12</f>
        <v>0</v>
      </c>
      <c r="D30" s="46" t="s">
        <v>79</v>
      </c>
      <c r="E30" s="22"/>
    </row>
    <row r="31" spans="2:7" x14ac:dyDescent="0.25">
      <c r="B31" s="83" t="s">
        <v>78</v>
      </c>
      <c r="C31" s="82">
        <v>0</v>
      </c>
      <c r="D31" s="46"/>
      <c r="E31" s="22"/>
      <c r="G31" s="1" t="s">
        <v>77</v>
      </c>
    </row>
    <row r="32" spans="2:7" ht="18.75" x14ac:dyDescent="0.25">
      <c r="B32" s="81" t="s">
        <v>7</v>
      </c>
      <c r="C32" s="80">
        <f>C24+C25+C31</f>
        <v>517217.60726399993</v>
      </c>
      <c r="D32" s="46"/>
      <c r="E32" s="22"/>
    </row>
    <row r="33" spans="2:8" ht="15.75" x14ac:dyDescent="0.25">
      <c r="B33" s="79" t="s">
        <v>76</v>
      </c>
      <c r="C33" s="78" t="s">
        <v>75</v>
      </c>
      <c r="D33" s="77" t="s">
        <v>74</v>
      </c>
      <c r="E33" s="22"/>
    </row>
    <row r="34" spans="2:8" ht="15.75" x14ac:dyDescent="0.25">
      <c r="B34" s="76" t="s">
        <v>73</v>
      </c>
      <c r="C34" s="66"/>
      <c r="D34" s="75"/>
      <c r="E34" s="22"/>
      <c r="H34" s="74"/>
    </row>
    <row r="35" spans="2:8" ht="38.25" x14ac:dyDescent="0.25">
      <c r="B35" s="52" t="s">
        <v>72</v>
      </c>
      <c r="C35" s="73">
        <f>(0.79*((3059+200)*1.15*1.5*1.083*1.302)+0.053*1754.7)*12</f>
        <v>76264.648702181992</v>
      </c>
      <c r="D35" s="72" t="s">
        <v>71</v>
      </c>
      <c r="E35" s="22" t="s">
        <v>70</v>
      </c>
      <c r="H35" s="62"/>
    </row>
    <row r="36" spans="2:8" ht="15.75" x14ac:dyDescent="0.25">
      <c r="B36" s="52" t="s">
        <v>69</v>
      </c>
      <c r="C36" s="73">
        <f>0*8184.66*12</f>
        <v>0</v>
      </c>
      <c r="D36" s="72" t="s">
        <v>68</v>
      </c>
      <c r="E36" s="22"/>
      <c r="H36" s="62"/>
    </row>
    <row r="37" spans="2:8" ht="25.5" x14ac:dyDescent="0.25">
      <c r="B37" s="52" t="s">
        <v>67</v>
      </c>
      <c r="C37" s="73">
        <f>((0*8184.66)+0*8.74724)*12</f>
        <v>0</v>
      </c>
      <c r="D37" s="72" t="s">
        <v>66</v>
      </c>
      <c r="E37" s="22"/>
      <c r="H37" s="62"/>
    </row>
    <row r="38" spans="2:8" s="41" customFormat="1" ht="25.5" x14ac:dyDescent="0.25">
      <c r="B38" s="52" t="s">
        <v>65</v>
      </c>
      <c r="C38" s="47">
        <f>266.83*0.02*134*12</f>
        <v>8581.2527999999984</v>
      </c>
      <c r="D38" s="46" t="s">
        <v>64</v>
      </c>
      <c r="E38" s="42" t="s">
        <v>44</v>
      </c>
      <c r="H38" s="62"/>
    </row>
    <row r="39" spans="2:8" ht="25.5" x14ac:dyDescent="0.25">
      <c r="B39" s="52" t="s">
        <v>63</v>
      </c>
      <c r="C39" s="47">
        <f>(16.21*47)+(17.07*47)</f>
        <v>1564.1599999999999</v>
      </c>
      <c r="D39" s="71" t="s">
        <v>62</v>
      </c>
      <c r="E39" s="22" t="s">
        <v>61</v>
      </c>
      <c r="H39" s="62"/>
    </row>
    <row r="40" spans="2:8" ht="25.5" x14ac:dyDescent="0.25">
      <c r="B40" s="52" t="s">
        <v>60</v>
      </c>
      <c r="C40" s="47">
        <f>(2*47.84*0)+(2*50.38*0)</f>
        <v>0</v>
      </c>
      <c r="D40" s="71" t="s">
        <v>59</v>
      </c>
      <c r="E40" s="22"/>
      <c r="H40" s="62"/>
    </row>
    <row r="41" spans="2:8" ht="38.25" x14ac:dyDescent="0.25">
      <c r="B41" s="52" t="s">
        <v>58</v>
      </c>
      <c r="C41" s="70">
        <f>((6*0.21*1257)+(6*0.22*1257))</f>
        <v>3243.06</v>
      </c>
      <c r="D41" s="69" t="s">
        <v>57</v>
      </c>
      <c r="E41" s="22" t="s">
        <v>10</v>
      </c>
      <c r="H41" s="62"/>
    </row>
    <row r="42" spans="2:8" ht="38.25" x14ac:dyDescent="0.25">
      <c r="B42" s="58" t="s">
        <v>56</v>
      </c>
      <c r="C42" s="70">
        <f>(2*0.62*1257)+(2*0.65*1257)</f>
        <v>3192.78</v>
      </c>
      <c r="D42" s="69" t="s">
        <v>55</v>
      </c>
      <c r="E42" s="22" t="s">
        <v>54</v>
      </c>
      <c r="H42" s="62"/>
    </row>
    <row r="43" spans="2:8" ht="15.75" x14ac:dyDescent="0.25">
      <c r="B43" s="65" t="s">
        <v>53</v>
      </c>
      <c r="C43" s="68">
        <f>729.73*12/1.18</f>
        <v>7420.9830508474579</v>
      </c>
      <c r="D43" s="69" t="s">
        <v>52</v>
      </c>
      <c r="E43" s="22" t="s">
        <v>10</v>
      </c>
      <c r="H43" s="62"/>
    </row>
    <row r="44" spans="2:8" ht="25.5" x14ac:dyDescent="0.25">
      <c r="B44" s="65" t="s">
        <v>51</v>
      </c>
      <c r="C44" s="68">
        <f>0/1.18</f>
        <v>0</v>
      </c>
      <c r="D44" s="69"/>
      <c r="E44" s="22"/>
      <c r="H44" s="62"/>
    </row>
    <row r="45" spans="2:8" ht="15.75" x14ac:dyDescent="0.25">
      <c r="B45" s="65" t="s">
        <v>50</v>
      </c>
      <c r="C45" s="68">
        <f>0*2*12</f>
        <v>0</v>
      </c>
      <c r="D45" s="67" t="s">
        <v>49</v>
      </c>
      <c r="E45" s="22"/>
      <c r="H45" s="62"/>
    </row>
    <row r="46" spans="2:8" ht="38.25" x14ac:dyDescent="0.25">
      <c r="B46" s="65" t="s">
        <v>48</v>
      </c>
      <c r="C46" s="66">
        <f>(113.78*1.65/12*134*6)+(127.2*1.65/12*134*6)</f>
        <v>26640.339</v>
      </c>
      <c r="D46" s="63" t="s">
        <v>47</v>
      </c>
      <c r="E46" s="22" t="s">
        <v>44</v>
      </c>
      <c r="H46" s="62"/>
    </row>
    <row r="47" spans="2:8" ht="15.75" x14ac:dyDescent="0.25">
      <c r="B47" s="65" t="s">
        <v>46</v>
      </c>
      <c r="C47" s="64">
        <f>0.29*176.76*12</f>
        <v>615.12479999999994</v>
      </c>
      <c r="D47" s="63" t="s">
        <v>45</v>
      </c>
      <c r="E47" s="22" t="s">
        <v>44</v>
      </c>
      <c r="H47" s="62"/>
    </row>
    <row r="48" spans="2:8" ht="15.75" x14ac:dyDescent="0.25">
      <c r="B48" s="61" t="s">
        <v>43</v>
      </c>
      <c r="C48" s="49">
        <f>C35+C36+C37+C38+C39+C40+C41+C42+C43+C44+C45+C46+C47</f>
        <v>127522.34835302945</v>
      </c>
      <c r="D48" s="48"/>
    </row>
    <row r="49" spans="2:5" x14ac:dyDescent="0.25">
      <c r="B49" s="52" t="s">
        <v>42</v>
      </c>
      <c r="C49" s="47"/>
      <c r="D49" s="46"/>
      <c r="E49" s="22"/>
    </row>
    <row r="50" spans="2:5" s="59" customFormat="1" ht="25.5" x14ac:dyDescent="0.2">
      <c r="B50" s="60" t="s">
        <v>41</v>
      </c>
      <c r="C50" s="47">
        <f>(12.59*82.67+0.518*(3383+230.5))*12</f>
        <v>34951.299599999998</v>
      </c>
      <c r="D50" s="46" t="s">
        <v>40</v>
      </c>
      <c r="E50" s="22"/>
    </row>
    <row r="51" spans="2:5" x14ac:dyDescent="0.25">
      <c r="B51" s="58" t="s">
        <v>39</v>
      </c>
      <c r="C51" s="47">
        <f>14.86*1538</f>
        <v>22854.68</v>
      </c>
      <c r="D51" s="57" t="s">
        <v>38</v>
      </c>
      <c r="E51" s="22" t="s">
        <v>37</v>
      </c>
    </row>
    <row r="52" spans="2:5" ht="89.25" x14ac:dyDescent="0.25">
      <c r="B52" s="56" t="s">
        <v>36</v>
      </c>
      <c r="C52" s="55">
        <v>0</v>
      </c>
      <c r="D52" s="46"/>
      <c r="E52" s="54"/>
    </row>
    <row r="53" spans="2:5" x14ac:dyDescent="0.25">
      <c r="B53" s="53" t="s">
        <v>35</v>
      </c>
      <c r="C53" s="50">
        <v>0</v>
      </c>
      <c r="D53" s="46"/>
      <c r="E53" s="22"/>
    </row>
    <row r="54" spans="2:5" ht="60" x14ac:dyDescent="0.25">
      <c r="B54" s="52" t="s">
        <v>34</v>
      </c>
      <c r="C54" s="50">
        <f>(560.69+208.49/3)*18067/1000</f>
        <v>11385.582506666668</v>
      </c>
      <c r="D54" s="46" t="s">
        <v>33</v>
      </c>
      <c r="E54" s="51" t="s">
        <v>32</v>
      </c>
    </row>
    <row r="55" spans="2:5" x14ac:dyDescent="0.25">
      <c r="B55" s="40" t="s">
        <v>31</v>
      </c>
      <c r="C55" s="50">
        <v>0</v>
      </c>
      <c r="D55" s="46"/>
      <c r="E55" s="22"/>
    </row>
    <row r="56" spans="2:5" ht="25.5" x14ac:dyDescent="0.25">
      <c r="B56" s="40" t="s">
        <v>30</v>
      </c>
      <c r="C56" s="47">
        <f>(477.13*82.67)+(477.13*82.67/1.302)*0.25</f>
        <v>47018.134546236557</v>
      </c>
      <c r="D56" s="46" t="s">
        <v>29</v>
      </c>
      <c r="E56" s="22"/>
    </row>
    <row r="57" spans="2:5" ht="15.75" x14ac:dyDescent="0.25">
      <c r="B57" s="39" t="s">
        <v>28</v>
      </c>
      <c r="C57" s="49">
        <f>C50+C51+C52+C53+C54+C55+C56</f>
        <v>116209.69665290322</v>
      </c>
      <c r="D57" s="48"/>
      <c r="E57" s="22"/>
    </row>
    <row r="58" spans="2:5" x14ac:dyDescent="0.25">
      <c r="B58" s="40" t="s">
        <v>27</v>
      </c>
      <c r="C58" s="47"/>
      <c r="D58" s="46"/>
      <c r="E58" s="22"/>
    </row>
    <row r="59" spans="2:5" s="41" customFormat="1" x14ac:dyDescent="0.2">
      <c r="B59" s="45" t="s">
        <v>26</v>
      </c>
      <c r="C59" s="44">
        <v>170000</v>
      </c>
      <c r="D59" s="43"/>
      <c r="E59" s="42"/>
    </row>
    <row r="60" spans="2:5" x14ac:dyDescent="0.25">
      <c r="B60" s="40" t="s">
        <v>25</v>
      </c>
      <c r="C60" s="30"/>
      <c r="D60" s="29"/>
      <c r="E60" s="22"/>
    </row>
    <row r="61" spans="2:5" x14ac:dyDescent="0.25">
      <c r="B61" s="40" t="s">
        <v>24</v>
      </c>
      <c r="C61" s="30"/>
      <c r="D61" s="29"/>
      <c r="E61" s="22"/>
    </row>
    <row r="62" spans="2:5" x14ac:dyDescent="0.25">
      <c r="B62" s="40" t="s">
        <v>23</v>
      </c>
      <c r="C62" s="30"/>
      <c r="D62" s="29"/>
      <c r="E62" s="22"/>
    </row>
    <row r="63" spans="2:5" x14ac:dyDescent="0.25">
      <c r="B63" s="40" t="s">
        <v>22</v>
      </c>
      <c r="C63" s="30"/>
      <c r="D63" s="29"/>
      <c r="E63" s="22"/>
    </row>
    <row r="64" spans="2:5" ht="15.75" x14ac:dyDescent="0.25">
      <c r="B64" s="39" t="s">
        <v>21</v>
      </c>
      <c r="C64" s="33">
        <f>C59+C60</f>
        <v>170000</v>
      </c>
      <c r="D64" s="32"/>
      <c r="E64" s="22"/>
    </row>
    <row r="65" spans="2:8" x14ac:dyDescent="0.25">
      <c r="B65" s="38" t="s">
        <v>20</v>
      </c>
      <c r="C65" s="30">
        <f>2.096*(3383+230.5)</f>
        <v>7573.8960000000006</v>
      </c>
      <c r="D65" s="29" t="s">
        <v>19</v>
      </c>
      <c r="E65" s="22"/>
    </row>
    <row r="66" spans="2:8" ht="15.75" x14ac:dyDescent="0.25">
      <c r="B66" s="35" t="s">
        <v>18</v>
      </c>
      <c r="C66" s="34">
        <f>1.28*(3383+230.5)</f>
        <v>4625.28</v>
      </c>
      <c r="D66" s="34" t="s">
        <v>17</v>
      </c>
      <c r="E66" s="22"/>
      <c r="H66" s="37"/>
    </row>
    <row r="67" spans="2:8" x14ac:dyDescent="0.25">
      <c r="B67" s="31" t="s">
        <v>16</v>
      </c>
      <c r="C67" s="30">
        <f>(C48+C57)*0.166</f>
        <v>40459.519470984829</v>
      </c>
      <c r="D67" s="29" t="s">
        <v>15</v>
      </c>
      <c r="E67" s="22"/>
    </row>
    <row r="68" spans="2:8" x14ac:dyDescent="0.25">
      <c r="B68" s="31" t="s">
        <v>14</v>
      </c>
      <c r="C68" s="30">
        <f>0.87*3383*12</f>
        <v>35318.520000000004</v>
      </c>
      <c r="D68" s="36" t="s">
        <v>13</v>
      </c>
      <c r="E68" s="22" t="s">
        <v>10</v>
      </c>
    </row>
    <row r="69" spans="2:8" ht="38.25" x14ac:dyDescent="0.25">
      <c r="B69" s="35" t="s">
        <v>12</v>
      </c>
      <c r="C69" s="34">
        <f>(C48+C57+C67)*0.159</f>
        <v>45186.458751829879</v>
      </c>
      <c r="D69" s="29" t="s">
        <v>11</v>
      </c>
      <c r="E69" s="22" t="s">
        <v>10</v>
      </c>
    </row>
    <row r="70" spans="2:8" ht="15.75" x14ac:dyDescent="0.25">
      <c r="B70" s="28" t="s">
        <v>9</v>
      </c>
      <c r="C70" s="33">
        <f>C65+C66+C67+C68+C69</f>
        <v>133163.67422281473</v>
      </c>
      <c r="D70" s="32"/>
      <c r="E70" s="22"/>
    </row>
    <row r="71" spans="2:8" x14ac:dyDescent="0.25">
      <c r="B71" s="31" t="s">
        <v>8</v>
      </c>
      <c r="C71" s="30">
        <f>(C48+C57+C64+C70)*3%</f>
        <v>16406.871576862421</v>
      </c>
      <c r="D71" s="29"/>
      <c r="E71" s="22"/>
    </row>
    <row r="72" spans="2:8" ht="15.75" x14ac:dyDescent="0.25">
      <c r="B72" s="28" t="s">
        <v>7</v>
      </c>
      <c r="C72" s="27">
        <f>C48+C57+C64+C70+C71</f>
        <v>563302.59080560983</v>
      </c>
      <c r="D72" s="26"/>
      <c r="E72" s="22"/>
    </row>
    <row r="73" spans="2:8" ht="15.75" x14ac:dyDescent="0.25">
      <c r="B73" s="28" t="s">
        <v>6</v>
      </c>
      <c r="C73" s="27">
        <f>C72*1.18</f>
        <v>664697.05715061957</v>
      </c>
      <c r="D73" s="26"/>
      <c r="E73" s="22"/>
    </row>
    <row r="74" spans="2:8" ht="15.75" x14ac:dyDescent="0.25">
      <c r="B74" s="25"/>
      <c r="C74" s="24">
        <f>C32-C73</f>
        <v>-147479.44988661964</v>
      </c>
      <c r="D74" s="23"/>
      <c r="E74" s="22"/>
    </row>
    <row r="75" spans="2:8" x14ac:dyDescent="0.25">
      <c r="B75" s="7" t="s">
        <v>5</v>
      </c>
      <c r="C75" s="21"/>
      <c r="D75" s="20">
        <v>354573.51</v>
      </c>
    </row>
    <row r="76" spans="2:8" x14ac:dyDescent="0.25">
      <c r="B76" s="7"/>
      <c r="C76" s="13"/>
      <c r="D76" s="19"/>
      <c r="E76" s="18"/>
    </row>
    <row r="77" spans="2:8" x14ac:dyDescent="0.25">
      <c r="B77" s="17"/>
      <c r="C77" s="16"/>
      <c r="D77" s="15"/>
    </row>
    <row r="78" spans="2:8" ht="18.75" customHeight="1" x14ac:dyDescent="0.25">
      <c r="B78" s="14" t="s">
        <v>4</v>
      </c>
      <c r="C78" s="13"/>
      <c r="D78" s="6"/>
    </row>
    <row r="79" spans="2:8" ht="28.5" customHeight="1" x14ac:dyDescent="0.25">
      <c r="B79" s="12" t="s">
        <v>3</v>
      </c>
      <c r="C79" s="12"/>
      <c r="D79" s="12"/>
    </row>
    <row r="80" spans="2:8" ht="32.25" customHeight="1" x14ac:dyDescent="0.25">
      <c r="B80" s="12" t="s">
        <v>2</v>
      </c>
      <c r="C80" s="12"/>
      <c r="D80" s="12"/>
    </row>
    <row r="81" spans="2:5" x14ac:dyDescent="0.25">
      <c r="B81" s="11"/>
      <c r="C81" s="10"/>
      <c r="D81" s="10"/>
    </row>
    <row r="82" spans="2:5" x14ac:dyDescent="0.25">
      <c r="B82" s="11"/>
      <c r="C82" s="10"/>
      <c r="D82" s="10"/>
    </row>
    <row r="83" spans="2:5" x14ac:dyDescent="0.25">
      <c r="B83" s="7"/>
      <c r="C83" s="6"/>
      <c r="D83" s="6"/>
    </row>
    <row r="84" spans="2:5" x14ac:dyDescent="0.25">
      <c r="B84" s="7"/>
      <c r="C84" s="6"/>
      <c r="D84" s="6"/>
    </row>
    <row r="85" spans="2:5" ht="18.75" x14ac:dyDescent="0.3">
      <c r="B85" s="9" t="s">
        <v>1</v>
      </c>
      <c r="C85" s="8"/>
      <c r="D85" s="8" t="s">
        <v>0</v>
      </c>
    </row>
    <row r="86" spans="2:5" x14ac:dyDescent="0.25">
      <c r="B86" s="7"/>
      <c r="C86" s="6"/>
      <c r="D86" s="6"/>
    </row>
    <row r="87" spans="2:5" x14ac:dyDescent="0.25">
      <c r="B87" s="7"/>
      <c r="C87" s="6"/>
      <c r="D87" s="6"/>
    </row>
    <row r="88" spans="2:5" x14ac:dyDescent="0.25">
      <c r="B88" s="7"/>
      <c r="C88" s="6"/>
      <c r="D88" s="6"/>
    </row>
    <row r="89" spans="2:5" x14ac:dyDescent="0.25">
      <c r="B89" s="7"/>
      <c r="C89" s="6"/>
      <c r="D89" s="6"/>
    </row>
    <row r="91" spans="2:5" x14ac:dyDescent="0.25">
      <c r="B91" s="7"/>
      <c r="C91" s="6"/>
      <c r="D91" s="6"/>
    </row>
    <row r="92" spans="2:5" x14ac:dyDescent="0.25">
      <c r="B92" s="7"/>
      <c r="C92" s="6"/>
      <c r="D92" s="6"/>
    </row>
    <row r="93" spans="2:5" x14ac:dyDescent="0.25">
      <c r="B93" s="7"/>
      <c r="C93" s="6"/>
      <c r="D93" s="6"/>
    </row>
    <row r="94" spans="2:5" s="4" customFormat="1" x14ac:dyDescent="0.25">
      <c r="B94" s="5"/>
      <c r="E94" s="5"/>
    </row>
    <row r="95" spans="2:5" s="4" customFormat="1" x14ac:dyDescent="0.25">
      <c r="B95" s="5"/>
      <c r="E95" s="5"/>
    </row>
    <row r="96" spans="2:5" s="4" customFormat="1" x14ac:dyDescent="0.25">
      <c r="B96" s="5"/>
      <c r="E96" s="5"/>
    </row>
    <row r="97" spans="2:5" s="4" customFormat="1" x14ac:dyDescent="0.25">
      <c r="B97" s="5"/>
      <c r="E97" s="5"/>
    </row>
    <row r="98" spans="2:5" s="4" customFormat="1" x14ac:dyDescent="0.25">
      <c r="B98" s="5"/>
      <c r="E98" s="5"/>
    </row>
    <row r="99" spans="2:5" s="4" customFormat="1" x14ac:dyDescent="0.25">
      <c r="B99" s="5"/>
      <c r="E99" s="5"/>
    </row>
    <row r="100" spans="2:5" s="4" customFormat="1" x14ac:dyDescent="0.25">
      <c r="B100" s="5"/>
      <c r="E100" s="5"/>
    </row>
    <row r="101" spans="2:5" s="4" customFormat="1" x14ac:dyDescent="0.25">
      <c r="B101" s="5"/>
      <c r="E101" s="5"/>
    </row>
  </sheetData>
  <mergeCells count="5">
    <mergeCell ref="B8:D8"/>
    <mergeCell ref="B9:D10"/>
    <mergeCell ref="B79:D79"/>
    <mergeCell ref="B80:D80"/>
    <mergeCell ref="A1:C1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Толстого1 норм.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2014-06-10T09:55:43Z</dcterms:created>
  <dcterms:modified xsi:type="dcterms:W3CDTF">2014-06-10T09:56:08Z</dcterms:modified>
</cp:coreProperties>
</file>