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ервомайская 23" sheetId="1" r:id="rId1"/>
  </sheets>
  <calcPr calcId="125725"/>
</workbook>
</file>

<file path=xl/calcChain.xml><?xml version="1.0" encoding="utf-8"?>
<calcChain xmlns="http://schemas.openxmlformats.org/spreadsheetml/2006/main">
  <c r="B11" i="1"/>
  <c r="B56" s="1"/>
  <c r="B33"/>
  <c r="B35"/>
  <c r="B30"/>
  <c r="B51"/>
  <c r="B27"/>
  <c r="B25" s="1"/>
  <c r="B26"/>
  <c r="B24"/>
  <c r="B23"/>
  <c r="B22"/>
  <c r="B21"/>
  <c r="B20"/>
  <c r="B19" s="1"/>
  <c r="B18"/>
  <c r="B17"/>
  <c r="B16" s="1"/>
  <c r="B48" l="1"/>
  <c r="B66"/>
  <c r="B58"/>
  <c r="B57"/>
  <c r="B55"/>
  <c r="B50"/>
  <c r="B49"/>
  <c r="B47"/>
  <c r="B46"/>
  <c r="B45"/>
  <c r="B44"/>
  <c r="B43"/>
  <c r="B42"/>
  <c r="B41"/>
  <c r="B40"/>
  <c r="B34"/>
  <c r="B32"/>
  <c r="B31"/>
  <c r="B15"/>
  <c r="B14"/>
  <c r="B13"/>
  <c r="B67"/>
  <c r="B29" l="1"/>
  <c r="B52"/>
  <c r="B28"/>
  <c r="B54"/>
  <c r="B68"/>
  <c r="B37" l="1"/>
  <c r="B59"/>
  <c r="B69" s="1"/>
  <c r="B70" l="1"/>
  <c r="B71" s="1"/>
  <c r="B72" l="1"/>
  <c r="B73" s="1"/>
  <c r="B74" s="1"/>
  <c r="B76" l="1"/>
  <c r="B75"/>
</calcChain>
</file>

<file path=xl/sharedStrings.xml><?xml version="1.0" encoding="utf-8"?>
<sst xmlns="http://schemas.openxmlformats.org/spreadsheetml/2006/main" count="154" uniqueCount="138">
  <si>
    <t>Общая площадь, кв. м.</t>
  </si>
  <si>
    <t>Статьи доходов</t>
  </si>
  <si>
    <t>Сумма, руб.</t>
  </si>
  <si>
    <t>Обоснование:расчет платы на 1 кв.м.площади,ТБО на 1 чел.</t>
  </si>
  <si>
    <t>1.Начисление населению</t>
  </si>
  <si>
    <t>в т. ч. вывоз мусора (население)</t>
  </si>
  <si>
    <t>Всего:</t>
  </si>
  <si>
    <t>2.Начисление арендаторам за установку кабелей ТВ</t>
  </si>
  <si>
    <t>"Кристалл"</t>
  </si>
  <si>
    <t>34,98 руб.*12мес.</t>
  </si>
  <si>
    <t>"Вымпелком"</t>
  </si>
  <si>
    <t>137,50руб.*12мес.</t>
  </si>
  <si>
    <t>"Уфанет"</t>
  </si>
  <si>
    <t>123,75руб.*12мес.</t>
  </si>
  <si>
    <t>"Башинформсвязь"</t>
  </si>
  <si>
    <t>150,00руб.*12мес.</t>
  </si>
  <si>
    <t>3.Начисление за рекламу(аренда)</t>
  </si>
  <si>
    <t>Итого:</t>
  </si>
  <si>
    <t>Статьи расходов. Перечень работ, услуг</t>
  </si>
  <si>
    <t>Обоснование</t>
  </si>
  <si>
    <t>1.Санитарное содержание</t>
  </si>
  <si>
    <t>-уборка придомовой территории</t>
  </si>
  <si>
    <t>.- вывоз КГМ</t>
  </si>
  <si>
    <t>-очистка вентканалов</t>
  </si>
  <si>
    <t>.-дератизация</t>
  </si>
  <si>
    <t>.-дезинсекция</t>
  </si>
  <si>
    <t>.-вывоз мусора (население)</t>
  </si>
  <si>
    <t>.-вывоз мусора (арендаторы)</t>
  </si>
  <si>
    <t>Всего по п.1:</t>
  </si>
  <si>
    <t>2.Техническая эксплуатация</t>
  </si>
  <si>
    <t>.-профосмотры:в т.ч.сезонные осмотры</t>
  </si>
  <si>
    <t>-очистка кровли от снега</t>
  </si>
  <si>
    <t>.-гидравлические испытания и промывка системы отопления</t>
  </si>
  <si>
    <t>-резерв на непредвиденные работы</t>
  </si>
  <si>
    <t>Всего по п.2:</t>
  </si>
  <si>
    <t>3.Текущий ремонт</t>
  </si>
  <si>
    <t>-наращивание свесов кровли</t>
  </si>
  <si>
    <t>.-электромонтаж</t>
  </si>
  <si>
    <t>-замена входных дверей</t>
  </si>
  <si>
    <t>-резерв и непредвиденные затраты</t>
  </si>
  <si>
    <t>Всего по п.3:</t>
  </si>
  <si>
    <t>4.Аварийно-ремонтная службы</t>
  </si>
  <si>
    <t>5.ОДС</t>
  </si>
  <si>
    <t>Рентабельность, 3%</t>
  </si>
  <si>
    <t xml:space="preserve">Начальник ПЭО </t>
  </si>
  <si>
    <t>УТВЕРЖДАЮ</t>
  </si>
  <si>
    <t>И. о. директора ОАО" УЖХ</t>
  </si>
  <si>
    <t>Орджоникидзевского района"</t>
  </si>
  <si>
    <t>Площадь нежилых помещений, кв.м.</t>
  </si>
  <si>
    <t>Дата проведения</t>
  </si>
  <si>
    <t>1 раз в мес.</t>
  </si>
  <si>
    <t>по графику</t>
  </si>
  <si>
    <t>2 раза в год</t>
  </si>
  <si>
    <t>в зимний период</t>
  </si>
  <si>
    <t>гидравлич.испытания - 1 раз в год,промывка - 1 раз в 3 года</t>
  </si>
  <si>
    <t>ежедневно</t>
  </si>
  <si>
    <t>по заявкам</t>
  </si>
  <si>
    <t>.-уборка лестничных клеток</t>
  </si>
  <si>
    <t>.-обслуживание мусоропровода</t>
  </si>
  <si>
    <t>((0чел.*8618,11руб/чел.)+0квартир* 10,20529руб/кв)*12</t>
  </si>
  <si>
    <t>6. Общеэксплуатационные расходы</t>
  </si>
  <si>
    <t>Прямые расходы*0,212*</t>
  </si>
  <si>
    <t>7. Услуги по начислению и сбору платежей и управлению домом</t>
  </si>
  <si>
    <t>(Прямые расходы+Общеэксплуатационные расходы)*0,16*</t>
  </si>
  <si>
    <t>1 раз в месяц</t>
  </si>
  <si>
    <t>Экономически обоснованный тариф по затратам на "Содержание"</t>
  </si>
  <si>
    <t>Итого стоимость услуг/(площадь жил.+площадь нежил.)/12мес.</t>
  </si>
  <si>
    <t>В расходной части сметы не учтены затраты на текущий ремонт МКД</t>
  </si>
  <si>
    <t xml:space="preserve">* 0,212-коэффициент соотношения по Орджоникидзевскому району на 2015 год общеэксплуатационных расходов к прямым, исходя из фактических данных 2014 года. </t>
  </si>
  <si>
    <t xml:space="preserve">** 0,16-коэффициент соотношения по Орджоникидзевскому району на 2015 год услуг по управлению и начислению платежей, исходя из фактических данных 2014 года. </t>
  </si>
  <si>
    <t>А. А.Бахтиярова</t>
  </si>
  <si>
    <t>Итого стоимость услуг с НДС:</t>
  </si>
  <si>
    <t>Общая площадь</t>
  </si>
  <si>
    <t>Кол-во кв-р</t>
  </si>
  <si>
    <t>Кол-во пользующихся ЖКУ</t>
  </si>
  <si>
    <t>Объем</t>
  </si>
  <si>
    <t>Площадь подвала</t>
  </si>
  <si>
    <t>Площадь кровли</t>
  </si>
  <si>
    <t>Кол-во лифтов</t>
  </si>
  <si>
    <t>Кол-во мусоропроводов</t>
  </si>
  <si>
    <t>Площадь асфальта</t>
  </si>
  <si>
    <t>Кол-во дымоходов</t>
  </si>
  <si>
    <t>Непредвид.ремонт</t>
  </si>
  <si>
    <t>тариф</t>
  </si>
  <si>
    <t>____________________А.М. Андреев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</si>
  <si>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трубопроводов, смена вентилей, задвижек</t>
  </si>
  <si>
    <t>Всего по п.4-7:</t>
  </si>
  <si>
    <t>Профобходы</t>
  </si>
  <si>
    <t>Дворников</t>
  </si>
  <si>
    <t>Мусоропроводчиков</t>
  </si>
  <si>
    <t>Уб. л/кл</t>
  </si>
  <si>
    <t>.-смена оконных блоков
.-ремонт откосов
-замена эл.проводки 
-замена входных дверей
-резерв и непредвиденные затраты
ремонт фасада здания</t>
  </si>
  <si>
    <t>2.Начисления по нежилым помещениям</t>
  </si>
  <si>
    <t>.-т/о приборов учета тепловой энергии</t>
  </si>
  <si>
    <t>(820,25/1,18руб./мес.*6 мес.)+(865,34руб./мес./1,18*6мес.)</t>
  </si>
  <si>
    <t>1раз в месяц</t>
  </si>
  <si>
    <t>"Скартел"</t>
  </si>
  <si>
    <t>137,5руб.*12мес.</t>
  </si>
  <si>
    <t>.-абслуживание узлов автоматического регулирования</t>
  </si>
  <si>
    <t>(617,13/1,18руб./мес.*6 мес.)+(651,07руб./мес./1,18*6мес.)</t>
  </si>
  <si>
    <t>"ЭРТелеком"</t>
  </si>
  <si>
    <t>.- очистка дымоходов</t>
  </si>
  <si>
    <t xml:space="preserve">         ЖЭУ-78           (с НДС)</t>
  </si>
  <si>
    <t>4 раза в год</t>
  </si>
  <si>
    <t>0,24чел*8618,11 руб./чел*12 мес.</t>
  </si>
  <si>
    <t>План работ на 2015 год, согласно Постановлению Правительства РФ №731 от 23 сентября 2010г. п.11 пп.б.</t>
  </si>
  <si>
    <t>Тех.обслуживание</t>
  </si>
  <si>
    <t>Вывоз мусора</t>
  </si>
  <si>
    <t>Смета доходов  и расходов на содержание и текущий ремонт общедомового имущества дома № 23,   ул. Первомайская</t>
  </si>
  <si>
    <t>1) Тимершин  (72,7кв.м.)</t>
  </si>
  <si>
    <t>72,7кв.м.*10,86руб.*12мес.</t>
  </si>
  <si>
    <t>0,85куб.м.*(178,32руб.*1,18*6мес.+179,77руб.*1,18*6мес.)</t>
  </si>
  <si>
    <t>2) Ахмеров (132,9кв.м.)</t>
  </si>
  <si>
    <t>132,9кв.м.*10,86руб.*12мес.</t>
  </si>
  <si>
    <t>1,06куб.м.*(178,32руб.*1,18*6мес.+179,77руб.*1,18*6мес.)</t>
  </si>
  <si>
    <t>3) "Фармленд" (584,3кв.м.)</t>
  </si>
  <si>
    <t>584,3кв.м.*10,86руб.*12мес.</t>
  </si>
  <si>
    <t>14,05куб.м.*(178,32руб.*1,18*6мес.+179,77руб.*1,18*6мес.)</t>
  </si>
  <si>
    <t>4) "Птичий двор" (142,7кв.м.)</t>
  </si>
  <si>
    <t>142,7кв.м.*10,86руб.*12мес.</t>
  </si>
  <si>
    <t>5,08куб.м.*(178,32руб.*1,18*6мес.+179,77руб.*1,18*6мес.)</t>
  </si>
  <si>
    <t>21,04куб.м.*(178,32руб.*6мес.+179,77руб.*6мес.)</t>
  </si>
  <si>
    <t xml:space="preserve">((127,11руб.куб.м.в мес.*65чел.*6мес.*1,65/12)+(144,83 руб./куб.м.в мес.*65чел.*6мес.*1,65/12))*1,18               </t>
  </si>
  <si>
    <t>(256,74руб./куб.м.*0,02куб.м.*65чел.*6мес.)+(270,7руб./куб.м.*0,02куб.м.*65чел.*6мес.)</t>
  </si>
  <si>
    <t>((127,11руб./куб.м..в мес.*65чел.*6мес.*1,65/12)+(144,83 руб./куб.м.в мес.*65чел.*6мес.*1,65/12))</t>
  </si>
  <si>
    <t xml:space="preserve">(586,14руб./куб.м.+223,96/3руб./куб.м.)*9180/1000      </t>
  </si>
  <si>
    <t>(6раз в год*0,24 руб./мес.*859кв.м.)+(6раз в год*0,25руб.в мес.*859кв.м.)</t>
  </si>
  <si>
    <t>(2 раза в год*2,22руб./мес.*859кв.м.)+(2раза в год*2,34руб./мес.*859кв.м.)</t>
  </si>
  <si>
    <t>13,82руб./кв.м.*1127кв.м</t>
  </si>
  <si>
    <t>(224,1ч/час*86,9979руб./час)+(224,1ч/час*86,9979руб./час/1,302)*25%</t>
  </si>
  <si>
    <t>16,24руб./1кв.м*(1967,9+932,6кв.м.)</t>
  </si>
  <si>
    <t>2,679руб./кв.м.*(1967,9+932,6кв.м)</t>
  </si>
  <si>
    <t>1,29руб./кв.м*(1967,9+932,6кв.м)</t>
  </si>
  <si>
    <t>(1,22чел.*((3221+200)*1,15*1,5*1,083*1,302)+0,084руб./кв.м.асф.покр.*2570,3кв.м.)*12 мес.</t>
  </si>
  <si>
    <t>16,86 руб.*22вент.*2раза в год</t>
  </si>
  <si>
    <t>49,72 руб.*0дым.*4 раза в год</t>
  </si>
  <si>
    <t>(8,86ч/час*86,9979руб./час.+1,53руб./м.кв.*(1967,9+932,6кв.м.))*12мес.</t>
  </si>
  <si>
    <t>1967,9кв.м.*13,05 руб.*12 мес.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</si>
</sst>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00"/>
    <numFmt numFmtId="165" formatCode="_-* #,##0.00_р_._-;\-* #,##0.00_р_._-;_-* \-??_р_._-;_-@_-"/>
    <numFmt numFmtId="166" formatCode="#,##0.00_р_.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0" fontId="16" fillId="0" borderId="0"/>
  </cellStyleXfs>
  <cellXfs count="107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/>
    </xf>
    <xf numFmtId="166" fontId="8" fillId="0" borderId="14" xfId="0" applyNumberFormat="1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/>
    </xf>
    <xf numFmtId="166" fontId="8" fillId="0" borderId="3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/>
    </xf>
    <xf numFmtId="4" fontId="9" fillId="2" borderId="2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66" fontId="10" fillId="0" borderId="3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4" fontId="8" fillId="2" borderId="1" xfId="1" applyNumberFormat="1" applyFont="1" applyFill="1" applyBorder="1" applyAlignment="1" applyProtection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0" fillId="0" borderId="0" xfId="0" applyFont="1"/>
    <xf numFmtId="0" fontId="0" fillId="0" borderId="0" xfId="0" applyFont="1" applyAlignment="1">
      <alignment horizontal="right"/>
    </xf>
    <xf numFmtId="0" fontId="4" fillId="0" borderId="8" xfId="0" applyFont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166" fontId="12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66" fontId="4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/>
    </xf>
    <xf numFmtId="166" fontId="4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6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/>
    <xf numFmtId="166" fontId="8" fillId="0" borderId="5" xfId="0" applyNumberFormat="1" applyFont="1" applyBorder="1" applyAlignment="1">
      <alignment horizontal="center" vertical="center" wrapText="1"/>
    </xf>
    <xf numFmtId="0" fontId="13" fillId="0" borderId="1" xfId="2" applyFont="1" applyBorder="1"/>
    <xf numFmtId="0" fontId="6" fillId="0" borderId="15" xfId="0" applyFont="1" applyFill="1" applyBorder="1" applyAlignment="1">
      <alignment horizontal="center" vertical="center" wrapText="1"/>
    </xf>
    <xf numFmtId="0" fontId="13" fillId="0" borderId="2" xfId="2" applyFont="1" applyBorder="1"/>
    <xf numFmtId="0" fontId="0" fillId="0" borderId="3" xfId="0" applyBorder="1"/>
    <xf numFmtId="0" fontId="8" fillId="2" borderId="0" xfId="0" applyFont="1" applyFill="1" applyAlignment="1">
      <alignment horizontal="left" vertical="center"/>
    </xf>
    <xf numFmtId="166" fontId="8" fillId="2" borderId="0" xfId="0" applyNumberFormat="1" applyFont="1" applyFill="1"/>
    <xf numFmtId="0" fontId="8" fillId="2" borderId="0" xfId="0" applyFont="1" applyFill="1"/>
    <xf numFmtId="4" fontId="8" fillId="2" borderId="5" xfId="0" applyNumberFormat="1" applyFont="1" applyFill="1" applyBorder="1" applyAlignment="1">
      <alignment horizontal="center"/>
    </xf>
    <xf numFmtId="166" fontId="10" fillId="0" borderId="16" xfId="0" applyNumberFormat="1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4" fillId="2" borderId="0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8" fillId="2" borderId="13" xfId="0" applyFont="1" applyFill="1" applyBorder="1" applyAlignment="1">
      <alignment horizontal="left" vertical="center" wrapText="1"/>
    </xf>
    <xf numFmtId="2" fontId="4" fillId="2" borderId="7" xfId="0" applyNumberFormat="1" applyFont="1" applyFill="1" applyBorder="1" applyAlignment="1">
      <alignment horizontal="left" vertical="center" wrapText="1"/>
    </xf>
    <xf numFmtId="2" fontId="6" fillId="2" borderId="9" xfId="0" applyNumberFormat="1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/>
    </xf>
    <xf numFmtId="2" fontId="4" fillId="2" borderId="10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left" vertical="center" wrapText="1"/>
    </xf>
    <xf numFmtId="4" fontId="8" fillId="2" borderId="7" xfId="0" applyNumberFormat="1" applyFont="1" applyFill="1" applyBorder="1" applyAlignment="1">
      <alignment horizontal="left" vertical="center" wrapText="1"/>
    </xf>
    <xf numFmtId="2" fontId="10" fillId="2" borderId="7" xfId="0" applyNumberFormat="1" applyFont="1" applyFill="1" applyBorder="1" applyAlignment="1">
      <alignment horizontal="left" vertical="center"/>
    </xf>
    <xf numFmtId="4" fontId="8" fillId="2" borderId="3" xfId="0" applyNumberFormat="1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165" fontId="8" fillId="2" borderId="7" xfId="1" applyNumberFormat="1" applyFont="1" applyFill="1" applyBorder="1" applyAlignment="1" applyProtection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" fontId="9" fillId="2" borderId="7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3" fillId="0" borderId="17" xfId="2" applyFont="1" applyBorder="1"/>
    <xf numFmtId="166" fontId="8" fillId="0" borderId="2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3" applyFont="1" applyFill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">
    <cellStyle name="Excel Built-in Normal" xfId="2"/>
    <cellStyle name="Обычный" xfId="0" builtinId="0"/>
    <cellStyle name="Обычный 5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86"/>
  <sheetViews>
    <sheetView tabSelected="1" workbookViewId="0">
      <selection activeCell="E4" sqref="E1:F1048576"/>
    </sheetView>
  </sheetViews>
  <sheetFormatPr defaultRowHeight="40.9" customHeight="1"/>
  <cols>
    <col min="1" max="1" width="32.28515625" customWidth="1"/>
    <col min="2" max="2" width="13.140625" customWidth="1"/>
    <col min="3" max="3" width="36.85546875" customWidth="1"/>
    <col min="4" max="4" width="12.85546875" customWidth="1"/>
    <col min="5" max="5" width="24.7109375" hidden="1" customWidth="1"/>
    <col min="6" max="6" width="11.7109375" hidden="1" customWidth="1"/>
  </cols>
  <sheetData>
    <row r="1" spans="1:6" ht="20.45" customHeight="1">
      <c r="A1" s="1"/>
      <c r="B1" s="1"/>
      <c r="C1" s="1" t="s">
        <v>45</v>
      </c>
    </row>
    <row r="2" spans="1:6" ht="20.45" customHeight="1">
      <c r="A2" s="1"/>
      <c r="B2" s="1"/>
      <c r="C2" s="1" t="s">
        <v>46</v>
      </c>
    </row>
    <row r="3" spans="1:6" ht="20.45" customHeight="1">
      <c r="A3" s="1"/>
      <c r="B3" s="1"/>
      <c r="C3" s="1" t="s">
        <v>47</v>
      </c>
    </row>
    <row r="4" spans="1:6" ht="20.45" customHeight="1">
      <c r="A4" s="1"/>
      <c r="B4" s="1"/>
      <c r="C4" s="1" t="s">
        <v>84</v>
      </c>
    </row>
    <row r="5" spans="1:6" ht="20.45" customHeight="1">
      <c r="A5" s="1"/>
      <c r="B5" s="1"/>
      <c r="C5" s="1"/>
    </row>
    <row r="6" spans="1:6" ht="40.9" customHeight="1">
      <c r="A6" s="105" t="s">
        <v>105</v>
      </c>
      <c r="B6" s="105"/>
      <c r="C6" s="105"/>
      <c r="D6" s="105"/>
    </row>
    <row r="7" spans="1:6" ht="40.9" customHeight="1">
      <c r="A7" s="106" t="s">
        <v>108</v>
      </c>
      <c r="B7" s="106"/>
      <c r="C7" s="106"/>
    </row>
    <row r="8" spans="1:6" ht="18.600000000000001" customHeight="1">
      <c r="A8" s="2"/>
      <c r="B8" s="1"/>
      <c r="C8" s="1"/>
    </row>
    <row r="9" spans="1:6" ht="18.600000000000001" customHeight="1">
      <c r="A9" s="1"/>
      <c r="B9" s="1"/>
      <c r="C9" s="1"/>
    </row>
    <row r="10" spans="1:6" ht="18.600000000000001" customHeight="1">
      <c r="A10" s="3" t="s">
        <v>0</v>
      </c>
      <c r="B10" s="5">
        <v>1967.9</v>
      </c>
      <c r="C10" s="4" t="s">
        <v>102</v>
      </c>
    </row>
    <row r="11" spans="1:6" ht="18.600000000000001" customHeight="1">
      <c r="A11" s="3" t="s">
        <v>48</v>
      </c>
      <c r="B11" s="4">
        <f>72.7+132.9+584.3+142.7</f>
        <v>932.59999999999991</v>
      </c>
      <c r="C11" s="4"/>
    </row>
    <row r="12" spans="1:6" ht="18.600000000000001" customHeight="1">
      <c r="A12" s="6" t="s">
        <v>1</v>
      </c>
      <c r="B12" s="6" t="s">
        <v>2</v>
      </c>
      <c r="C12" s="6" t="s">
        <v>3</v>
      </c>
      <c r="D12" s="49" t="s">
        <v>49</v>
      </c>
      <c r="E12" s="53" t="s">
        <v>83</v>
      </c>
      <c r="F12" s="52">
        <v>13.05</v>
      </c>
    </row>
    <row r="13" spans="1:6" ht="18.600000000000001" customHeight="1">
      <c r="A13" s="67" t="s">
        <v>4</v>
      </c>
      <c r="B13" s="7">
        <f>B10*F12*12</f>
        <v>308173.14</v>
      </c>
      <c r="C13" s="80" t="s">
        <v>137</v>
      </c>
      <c r="D13" s="8" t="s">
        <v>50</v>
      </c>
      <c r="E13" s="52" t="s">
        <v>72</v>
      </c>
      <c r="F13" s="52">
        <v>1967.9</v>
      </c>
    </row>
    <row r="14" spans="1:6" ht="65.25" customHeight="1">
      <c r="A14" s="41" t="s">
        <v>5</v>
      </c>
      <c r="B14" s="9">
        <f>((127.11*F15*6*1.65/12)+(144.83*F15*6*1.65/12))*1.18</f>
        <v>17207.683349999999</v>
      </c>
      <c r="C14" s="70" t="s">
        <v>122</v>
      </c>
      <c r="D14" s="10"/>
      <c r="E14" s="52" t="s">
        <v>73</v>
      </c>
      <c r="F14" s="52">
        <v>22</v>
      </c>
    </row>
    <row r="15" spans="1:6" ht="28.15" customHeight="1">
      <c r="A15" s="15" t="s">
        <v>92</v>
      </c>
      <c r="B15" s="9">
        <f>B16+B19+B22+B25</f>
        <v>174878.664288</v>
      </c>
      <c r="C15" s="70"/>
      <c r="D15" s="11" t="s">
        <v>50</v>
      </c>
      <c r="E15" s="52" t="s">
        <v>74</v>
      </c>
      <c r="F15" s="52">
        <v>65</v>
      </c>
    </row>
    <row r="16" spans="1:6" ht="27" customHeight="1">
      <c r="A16" s="100" t="s">
        <v>109</v>
      </c>
      <c r="B16" s="62">
        <f>B17+B18</f>
        <v>11629.249619999999</v>
      </c>
      <c r="C16" s="70"/>
      <c r="D16" s="13"/>
      <c r="E16" s="52" t="s">
        <v>75</v>
      </c>
      <c r="F16" s="52">
        <v>9180</v>
      </c>
    </row>
    <row r="17" spans="1:6" ht="15.75" customHeight="1">
      <c r="A17" s="101" t="s">
        <v>106</v>
      </c>
      <c r="B17" s="63">
        <f>72.7*10.86*12</f>
        <v>9474.2639999999992</v>
      </c>
      <c r="C17" s="74" t="s">
        <v>110</v>
      </c>
      <c r="D17" s="13"/>
      <c r="E17" s="52" t="s">
        <v>76</v>
      </c>
      <c r="F17" s="52">
        <v>859</v>
      </c>
    </row>
    <row r="18" spans="1:6" ht="36" customHeight="1">
      <c r="A18" s="101" t="s">
        <v>107</v>
      </c>
      <c r="B18" s="64">
        <f>0.85*(178.32*1.18*6+179.77*1.18*6)</f>
        <v>2154.9856199999999</v>
      </c>
      <c r="C18" s="75" t="s">
        <v>111</v>
      </c>
      <c r="D18" s="13"/>
      <c r="E18" s="52" t="s">
        <v>77</v>
      </c>
      <c r="F18" s="52">
        <v>1127</v>
      </c>
    </row>
    <row r="19" spans="1:6" ht="19.5" customHeight="1">
      <c r="A19" s="100" t="s">
        <v>112</v>
      </c>
      <c r="B19" s="62">
        <f>B20+B21</f>
        <v>20006.921832000004</v>
      </c>
      <c r="C19" s="70"/>
      <c r="D19" s="13"/>
      <c r="E19" s="52" t="s">
        <v>78</v>
      </c>
      <c r="F19" s="52"/>
    </row>
    <row r="20" spans="1:6" ht="15.75" customHeight="1">
      <c r="A20" s="101" t="s">
        <v>106</v>
      </c>
      <c r="B20" s="63">
        <f>132.9*10.86*12</f>
        <v>17319.528000000002</v>
      </c>
      <c r="C20" s="74" t="s">
        <v>113</v>
      </c>
      <c r="D20" s="13"/>
      <c r="E20" s="52" t="s">
        <v>79</v>
      </c>
      <c r="F20" s="52"/>
    </row>
    <row r="21" spans="1:6" ht="15.75" customHeight="1">
      <c r="A21" s="101" t="s">
        <v>107</v>
      </c>
      <c r="B21" s="64">
        <f>1.06*(178.32*1.18*6+179.77*1.18*6)</f>
        <v>2687.3938320000002</v>
      </c>
      <c r="C21" s="75" t="s">
        <v>114</v>
      </c>
      <c r="D21" s="13"/>
      <c r="E21" s="52" t="s">
        <v>80</v>
      </c>
      <c r="F21" s="52">
        <v>2570.3000000000002</v>
      </c>
    </row>
    <row r="22" spans="1:6" ht="28.5" customHeight="1">
      <c r="A22" s="100" t="s">
        <v>115</v>
      </c>
      <c r="B22" s="62">
        <f>B23+B24</f>
        <v>111766.62065999999</v>
      </c>
      <c r="C22" s="70"/>
      <c r="D22" s="13"/>
      <c r="E22" s="52" t="s">
        <v>81</v>
      </c>
      <c r="F22" s="52">
        <v>0</v>
      </c>
    </row>
    <row r="23" spans="1:6" ht="15.75" customHeight="1">
      <c r="A23" s="101" t="s">
        <v>106</v>
      </c>
      <c r="B23" s="63">
        <f>584.3*10.86*12</f>
        <v>76145.975999999995</v>
      </c>
      <c r="C23" s="74" t="s">
        <v>116</v>
      </c>
      <c r="D23" s="13"/>
      <c r="E23" s="52" t="s">
        <v>82</v>
      </c>
      <c r="F23" s="52">
        <v>224.1</v>
      </c>
    </row>
    <row r="24" spans="1:6" ht="15.75" customHeight="1">
      <c r="A24" s="101" t="s">
        <v>107</v>
      </c>
      <c r="B24" s="64">
        <f>14.05*(178.32*1.18*6+179.77*1.18*6)</f>
        <v>35620.644659999998</v>
      </c>
      <c r="C24" s="75" t="s">
        <v>117</v>
      </c>
      <c r="D24" s="13"/>
      <c r="E24" s="52" t="s">
        <v>87</v>
      </c>
      <c r="F24" s="52">
        <v>8.86</v>
      </c>
    </row>
    <row r="25" spans="1:6" ht="30.75" customHeight="1">
      <c r="A25" s="100" t="s">
        <v>118</v>
      </c>
      <c r="B25" s="62">
        <f>B26+B27</f>
        <v>31475.872175999997</v>
      </c>
      <c r="C25" s="70"/>
      <c r="D25" s="11"/>
      <c r="E25" s="52" t="s">
        <v>88</v>
      </c>
      <c r="F25" s="52">
        <v>1.22</v>
      </c>
    </row>
    <row r="26" spans="1:6" ht="15.75" customHeight="1">
      <c r="A26" s="101" t="s">
        <v>106</v>
      </c>
      <c r="B26" s="63">
        <f>142.7*10.86*12</f>
        <v>18596.663999999997</v>
      </c>
      <c r="C26" s="74" t="s">
        <v>119</v>
      </c>
      <c r="D26" s="99"/>
      <c r="E26" s="54" t="s">
        <v>89</v>
      </c>
      <c r="F26" s="54"/>
    </row>
    <row r="27" spans="1:6" ht="15.75" customHeight="1">
      <c r="A27" s="101" t="s">
        <v>107</v>
      </c>
      <c r="B27" s="64">
        <f>5.08*(178.32*1.18*6+179.77*1.18*6)</f>
        <v>12879.208176</v>
      </c>
      <c r="C27" s="75" t="s">
        <v>120</v>
      </c>
      <c r="D27" s="10"/>
      <c r="E27" s="98" t="s">
        <v>90</v>
      </c>
      <c r="F27" s="55">
        <v>0</v>
      </c>
    </row>
    <row r="28" spans="1:6" ht="15">
      <c r="A28" s="68" t="s">
        <v>6</v>
      </c>
      <c r="B28" s="14">
        <f>B13+B15</f>
        <v>483051.80428799998</v>
      </c>
      <c r="C28" s="81"/>
      <c r="D28" s="10"/>
    </row>
    <row r="29" spans="1:6" ht="30">
      <c r="A29" s="15" t="s">
        <v>7</v>
      </c>
      <c r="B29" s="14">
        <f>B30+B31+B32+B33+B34+B35</f>
        <v>5354.76</v>
      </c>
      <c r="C29" s="81"/>
      <c r="D29" s="51"/>
    </row>
    <row r="30" spans="1:6" ht="15">
      <c r="A30" s="16" t="s">
        <v>8</v>
      </c>
      <c r="B30" s="14">
        <f>34.98*12</f>
        <v>419.76</v>
      </c>
      <c r="C30" s="81" t="s">
        <v>9</v>
      </c>
      <c r="D30" s="11"/>
    </row>
    <row r="31" spans="1:6" ht="15">
      <c r="A31" s="16" t="s">
        <v>10</v>
      </c>
      <c r="B31" s="14">
        <f>137.5*12*0</f>
        <v>0</v>
      </c>
      <c r="C31" s="81" t="s">
        <v>11</v>
      </c>
      <c r="D31" s="11"/>
    </row>
    <row r="32" spans="1:6" ht="20.25" customHeight="1">
      <c r="A32" s="16" t="s">
        <v>12</v>
      </c>
      <c r="B32" s="14">
        <f>123.75*12</f>
        <v>1485</v>
      </c>
      <c r="C32" s="81" t="s">
        <v>13</v>
      </c>
      <c r="D32" s="11"/>
    </row>
    <row r="33" spans="1:4" ht="15" customHeight="1">
      <c r="A33" s="16" t="s">
        <v>100</v>
      </c>
      <c r="B33" s="14">
        <f>123.75*12*0</f>
        <v>0</v>
      </c>
      <c r="C33" s="81" t="s">
        <v>13</v>
      </c>
      <c r="D33" s="11"/>
    </row>
    <row r="34" spans="1:4" ht="15" customHeight="1">
      <c r="A34" s="16" t="s">
        <v>14</v>
      </c>
      <c r="B34" s="14">
        <f>150*12</f>
        <v>1800</v>
      </c>
      <c r="C34" s="81" t="s">
        <v>15</v>
      </c>
      <c r="D34" s="11"/>
    </row>
    <row r="35" spans="1:4" ht="15" customHeight="1">
      <c r="A35" s="16" t="s">
        <v>96</v>
      </c>
      <c r="B35" s="65">
        <f>137.5*12</f>
        <v>1650</v>
      </c>
      <c r="C35" s="81" t="s">
        <v>97</v>
      </c>
      <c r="D35" s="11"/>
    </row>
    <row r="36" spans="1:4" ht="15" customHeight="1">
      <c r="A36" s="15" t="s">
        <v>16</v>
      </c>
      <c r="B36" s="14">
        <v>0</v>
      </c>
      <c r="C36" s="81"/>
      <c r="D36" s="11"/>
    </row>
    <row r="37" spans="1:4" ht="15" customHeight="1">
      <c r="A37" s="69" t="s">
        <v>17</v>
      </c>
      <c r="B37" s="17">
        <f>B28+B29+B36</f>
        <v>488406.56428799999</v>
      </c>
      <c r="C37" s="81"/>
      <c r="D37" s="11"/>
    </row>
    <row r="38" spans="1:4" ht="39" customHeight="1">
      <c r="A38" s="69" t="s">
        <v>18</v>
      </c>
      <c r="B38" s="18" t="s">
        <v>2</v>
      </c>
      <c r="C38" s="82" t="s">
        <v>19</v>
      </c>
      <c r="D38" s="19"/>
    </row>
    <row r="39" spans="1:4" ht="16.5" customHeight="1">
      <c r="A39" s="70" t="s">
        <v>20</v>
      </c>
      <c r="B39" s="9"/>
      <c r="C39" s="83"/>
      <c r="D39" s="19"/>
    </row>
    <row r="40" spans="1:4" ht="30.75" customHeight="1">
      <c r="A40" s="16" t="s">
        <v>21</v>
      </c>
      <c r="B40" s="20">
        <f>(F25*((3221+200)*1.15*1.5*1.083*1.302)+0.084*F21)*12</f>
        <v>124412.01133964397</v>
      </c>
      <c r="C40" s="84" t="s">
        <v>133</v>
      </c>
      <c r="D40" s="10" t="s">
        <v>55</v>
      </c>
    </row>
    <row r="41" spans="1:4" ht="60" customHeight="1">
      <c r="A41" s="37" t="s">
        <v>57</v>
      </c>
      <c r="B41" s="38">
        <f>F27*8618.11*12</f>
        <v>0</v>
      </c>
      <c r="C41" s="85" t="s">
        <v>104</v>
      </c>
      <c r="D41" s="19"/>
    </row>
    <row r="42" spans="1:4" ht="35.25" customHeight="1">
      <c r="A42" s="37" t="s">
        <v>58</v>
      </c>
      <c r="B42" s="38">
        <f>((0*8618.11)+0*10.20529)*12</f>
        <v>0</v>
      </c>
      <c r="C42" s="85" t="s">
        <v>59</v>
      </c>
      <c r="D42" s="10"/>
    </row>
    <row r="43" spans="1:4" ht="48.75" customHeight="1">
      <c r="A43" s="16" t="s">
        <v>22</v>
      </c>
      <c r="B43" s="32">
        <f>(256.74*0.02*F15*6)+(270.7*0.02*F15*6)</f>
        <v>4114.0320000000002</v>
      </c>
      <c r="C43" s="81" t="s">
        <v>123</v>
      </c>
      <c r="D43" s="10" t="s">
        <v>51</v>
      </c>
    </row>
    <row r="44" spans="1:4" ht="16.5" customHeight="1">
      <c r="A44" s="16" t="s">
        <v>23</v>
      </c>
      <c r="B44" s="21">
        <f>16.86*F14*2</f>
        <v>741.83999999999992</v>
      </c>
      <c r="C44" s="86" t="s">
        <v>134</v>
      </c>
      <c r="D44" s="22" t="s">
        <v>52</v>
      </c>
    </row>
    <row r="45" spans="1:4" ht="15">
      <c r="A45" s="16" t="s">
        <v>101</v>
      </c>
      <c r="B45" s="78">
        <f>49.72*F22*4</f>
        <v>0</v>
      </c>
      <c r="C45" s="87" t="s">
        <v>135</v>
      </c>
      <c r="D45" s="22" t="s">
        <v>103</v>
      </c>
    </row>
    <row r="46" spans="1:4" ht="43.5" customHeight="1">
      <c r="A46" s="16" t="s">
        <v>24</v>
      </c>
      <c r="B46" s="39">
        <f>((6*0.24*F17)+(6*0.25*F17))</f>
        <v>2525.46</v>
      </c>
      <c r="C46" s="76" t="s">
        <v>126</v>
      </c>
      <c r="D46" s="22" t="s">
        <v>50</v>
      </c>
    </row>
    <row r="47" spans="1:4" ht="45">
      <c r="A47" s="16" t="s">
        <v>25</v>
      </c>
      <c r="B47" s="39">
        <f>(2*2.22*F17)+(2*2.34*F17)</f>
        <v>7834.08</v>
      </c>
      <c r="C47" s="76" t="s">
        <v>127</v>
      </c>
      <c r="D47" s="22" t="s">
        <v>56</v>
      </c>
    </row>
    <row r="48" spans="1:4" ht="30">
      <c r="A48" s="61" t="s">
        <v>93</v>
      </c>
      <c r="B48" s="66">
        <f>((820.25/1.18*6)+(865.34/1.18*6))</f>
        <v>8570.796610169491</v>
      </c>
      <c r="C48" s="77" t="s">
        <v>94</v>
      </c>
      <c r="D48" s="60" t="s">
        <v>95</v>
      </c>
    </row>
    <row r="49" spans="1:5" ht="30">
      <c r="A49" s="41" t="s">
        <v>98</v>
      </c>
      <c r="B49" s="66">
        <f>((617.13/1.18*6)+(651.07/1.18*6))*0</f>
        <v>0</v>
      </c>
      <c r="C49" s="76" t="s">
        <v>99</v>
      </c>
      <c r="D49" s="60" t="s">
        <v>95</v>
      </c>
    </row>
    <row r="50" spans="1:5" ht="63" customHeight="1">
      <c r="A50" s="41" t="s">
        <v>26</v>
      </c>
      <c r="B50" s="59">
        <f>(127.11*F15*6*1.65/12)+(144.83*F15*6*1.65/12)</f>
        <v>14582.782499999999</v>
      </c>
      <c r="C50" s="70" t="s">
        <v>124</v>
      </c>
      <c r="D50" s="22" t="s">
        <v>50</v>
      </c>
    </row>
    <row r="51" spans="1:5" ht="39.75" customHeight="1">
      <c r="A51" s="41" t="s">
        <v>27</v>
      </c>
      <c r="B51" s="23">
        <f>21.04*(178.32*6+179.77*6)</f>
        <v>45205.281599999995</v>
      </c>
      <c r="C51" s="75" t="s">
        <v>121</v>
      </c>
      <c r="D51" s="22" t="s">
        <v>50</v>
      </c>
    </row>
    <row r="52" spans="1:5" ht="21" customHeight="1">
      <c r="A52" s="69" t="s">
        <v>28</v>
      </c>
      <c r="B52" s="21">
        <f>SUM(B40:B51)</f>
        <v>207986.28404981343</v>
      </c>
      <c r="C52" s="81"/>
      <c r="D52" s="22"/>
      <c r="E52" s="79"/>
    </row>
    <row r="53" spans="1:5" ht="15">
      <c r="A53" s="16" t="s">
        <v>29</v>
      </c>
      <c r="B53" s="21"/>
      <c r="C53" s="81"/>
      <c r="D53" s="22"/>
    </row>
    <row r="54" spans="1:5" ht="30">
      <c r="A54" s="71" t="s">
        <v>30</v>
      </c>
      <c r="B54" s="40">
        <f>(F24*86.9979+1.53*(B10+B11))*12</f>
        <v>62502.796728000001</v>
      </c>
      <c r="C54" s="88" t="s">
        <v>136</v>
      </c>
      <c r="D54" s="10" t="s">
        <v>51</v>
      </c>
    </row>
    <row r="55" spans="1:5" ht="30">
      <c r="A55" s="16" t="s">
        <v>31</v>
      </c>
      <c r="B55" s="40">
        <f>13.82*F18</f>
        <v>15575.14</v>
      </c>
      <c r="C55" s="88" t="s">
        <v>128</v>
      </c>
      <c r="D55" s="22" t="s">
        <v>53</v>
      </c>
    </row>
    <row r="56" spans="1:5" ht="165">
      <c r="A56" s="31" t="s">
        <v>85</v>
      </c>
      <c r="B56" s="21">
        <f>16.24*(B10+B11)*0</f>
        <v>0</v>
      </c>
      <c r="C56" s="81" t="s">
        <v>130</v>
      </c>
      <c r="D56" s="10"/>
    </row>
    <row r="57" spans="1:5" ht="90">
      <c r="A57" s="16" t="s">
        <v>32</v>
      </c>
      <c r="B57" s="21">
        <f>(586.14+223.96/3)*F16/1000</f>
        <v>6066.0828000000001</v>
      </c>
      <c r="C57" s="81" t="s">
        <v>125</v>
      </c>
      <c r="D57" s="19" t="s">
        <v>54</v>
      </c>
    </row>
    <row r="58" spans="1:5" ht="42.75" customHeight="1">
      <c r="A58" s="16" t="s">
        <v>33</v>
      </c>
      <c r="B58" s="39">
        <f>(F23*86.9979)+(F23*86.9979/1.302)*0.25</f>
        <v>23239.745017880185</v>
      </c>
      <c r="C58" s="89" t="s">
        <v>129</v>
      </c>
      <c r="D58" s="50"/>
    </row>
    <row r="59" spans="1:5" ht="16.5" customHeight="1">
      <c r="A59" s="69" t="s">
        <v>34</v>
      </c>
      <c r="B59" s="21">
        <f>B54+B55+B56+B57+B117</f>
        <v>84144.019528000004</v>
      </c>
      <c r="C59" s="81"/>
      <c r="D59" s="50"/>
    </row>
    <row r="60" spans="1:5" ht="17.25" customHeight="1">
      <c r="A60" s="16" t="s">
        <v>35</v>
      </c>
      <c r="B60" s="21"/>
      <c r="C60" s="81"/>
      <c r="D60" s="50"/>
    </row>
    <row r="61" spans="1:5" ht="105">
      <c r="A61" s="72" t="s">
        <v>91</v>
      </c>
      <c r="B61" s="24"/>
      <c r="C61" s="82"/>
      <c r="D61" s="50"/>
    </row>
    <row r="62" spans="1:5" ht="15">
      <c r="A62" s="16" t="s">
        <v>36</v>
      </c>
      <c r="B62" s="12"/>
      <c r="C62" s="90"/>
      <c r="D62" s="19"/>
    </row>
    <row r="63" spans="1:5" ht="15">
      <c r="A63" s="16" t="s">
        <v>37</v>
      </c>
      <c r="B63" s="12"/>
      <c r="C63" s="90"/>
      <c r="D63" s="19"/>
    </row>
    <row r="64" spans="1:5" ht="15">
      <c r="A64" s="16" t="s">
        <v>38</v>
      </c>
      <c r="B64" s="12"/>
      <c r="C64" s="90"/>
      <c r="D64" s="11"/>
    </row>
    <row r="65" spans="1:4" ht="21.75" customHeight="1">
      <c r="A65" s="16" t="s">
        <v>39</v>
      </c>
      <c r="B65" s="12"/>
      <c r="C65" s="90"/>
      <c r="D65" s="11"/>
    </row>
    <row r="66" spans="1:4" ht="17.25" customHeight="1">
      <c r="A66" s="69" t="s">
        <v>40</v>
      </c>
      <c r="B66" s="12">
        <f>B61+B63</f>
        <v>0</v>
      </c>
      <c r="C66" s="90"/>
      <c r="D66" s="11"/>
    </row>
    <row r="67" spans="1:4" ht="15" customHeight="1">
      <c r="A67" s="16" t="s">
        <v>41</v>
      </c>
      <c r="B67" s="12">
        <f>2.679*(B10+B11)</f>
        <v>7770.4394999999995</v>
      </c>
      <c r="C67" s="90" t="s">
        <v>131</v>
      </c>
      <c r="D67" s="22" t="s">
        <v>50</v>
      </c>
    </row>
    <row r="68" spans="1:4" ht="18.75" customHeight="1">
      <c r="A68" s="73" t="s">
        <v>42</v>
      </c>
      <c r="B68" s="25">
        <f>1.29*(B10+B11)</f>
        <v>3741.645</v>
      </c>
      <c r="C68" s="91" t="s">
        <v>132</v>
      </c>
      <c r="D68" s="11"/>
    </row>
    <row r="69" spans="1:4" ht="27" customHeight="1">
      <c r="A69" s="41" t="s">
        <v>60</v>
      </c>
      <c r="B69" s="42">
        <f>(B52+B59)*0.212</f>
        <v>61931.624358496447</v>
      </c>
      <c r="C69" s="92" t="s">
        <v>61</v>
      </c>
      <c r="D69" s="43"/>
    </row>
    <row r="70" spans="1:4" ht="52.5" customHeight="1">
      <c r="A70" s="44" t="s">
        <v>62</v>
      </c>
      <c r="B70" s="45">
        <f>(B52+B59+B66+B69)*1.03/(1-0.134*1.03)*0.134</f>
        <v>56692.298305957789</v>
      </c>
      <c r="C70" s="93" t="s">
        <v>63</v>
      </c>
      <c r="D70" s="46" t="s">
        <v>64</v>
      </c>
    </row>
    <row r="71" spans="1:4" ht="18.75" customHeight="1">
      <c r="A71" s="69" t="s">
        <v>86</v>
      </c>
      <c r="B71" s="12">
        <f>B67+B68+B69+B70</f>
        <v>130136.00716445423</v>
      </c>
      <c r="C71" s="90"/>
      <c r="D71" s="11"/>
    </row>
    <row r="72" spans="1:4" ht="18.75" customHeight="1">
      <c r="A72" s="16" t="s">
        <v>43</v>
      </c>
      <c r="B72" s="12">
        <f>(B52+B59+B66+B71)*3%</f>
        <v>12667.989322268029</v>
      </c>
      <c r="C72" s="90"/>
      <c r="D72" s="10"/>
    </row>
    <row r="73" spans="1:4" ht="18.75" customHeight="1">
      <c r="A73" s="69" t="s">
        <v>17</v>
      </c>
      <c r="B73" s="26">
        <f>B52+B59+B66+B71+B72</f>
        <v>434934.3000645357</v>
      </c>
      <c r="C73" s="94"/>
      <c r="D73" s="10"/>
    </row>
    <row r="74" spans="1:4" ht="18.75" customHeight="1">
      <c r="A74" s="33" t="s">
        <v>71</v>
      </c>
      <c r="B74" s="34">
        <f>B73*1.18</f>
        <v>513222.47407615208</v>
      </c>
      <c r="C74" s="95"/>
      <c r="D74" s="10"/>
    </row>
    <row r="75" spans="1:4" ht="18.75" customHeight="1">
      <c r="A75" s="16"/>
      <c r="B75" s="27">
        <f>B37-B74</f>
        <v>-24815.909788152087</v>
      </c>
      <c r="C75" s="96"/>
      <c r="D75" s="51"/>
    </row>
    <row r="76" spans="1:4" ht="48.75" customHeight="1">
      <c r="A76" s="47" t="s">
        <v>65</v>
      </c>
      <c r="B76" s="48">
        <f>B74/(B10+B11)/12</f>
        <v>14.745229962539563</v>
      </c>
      <c r="C76" s="97" t="s">
        <v>66</v>
      </c>
      <c r="D76" s="43"/>
    </row>
    <row r="77" spans="1:4" ht="40.9" customHeight="1">
      <c r="A77" s="28"/>
      <c r="B77" s="29"/>
      <c r="C77" s="30"/>
      <c r="D77" s="29"/>
    </row>
    <row r="78" spans="1:4" ht="40.9" customHeight="1">
      <c r="A78" s="29"/>
      <c r="B78" s="29"/>
      <c r="C78" s="29"/>
      <c r="D78" s="29"/>
    </row>
    <row r="79" spans="1:4" ht="40.9" customHeight="1">
      <c r="A79" s="29"/>
      <c r="B79" s="29"/>
      <c r="C79" s="29"/>
      <c r="D79" s="29"/>
    </row>
    <row r="80" spans="1:4" ht="40.9" customHeight="1">
      <c r="A80" s="102" t="s">
        <v>67</v>
      </c>
      <c r="B80" s="102"/>
      <c r="C80" s="102"/>
    </row>
    <row r="81" spans="1:3" ht="40.9" customHeight="1">
      <c r="A81" s="103" t="s">
        <v>68</v>
      </c>
      <c r="B81" s="103"/>
      <c r="C81" s="103"/>
    </row>
    <row r="82" spans="1:3" ht="40.9" customHeight="1">
      <c r="A82" s="104" t="s">
        <v>69</v>
      </c>
      <c r="B82" s="104"/>
      <c r="C82" s="104"/>
    </row>
    <row r="83" spans="1:3" ht="40.9" customHeight="1">
      <c r="A83" s="35"/>
      <c r="B83" s="36"/>
      <c r="C83" s="1"/>
    </row>
    <row r="84" spans="1:3" ht="40.9" customHeight="1">
      <c r="A84" s="35"/>
      <c r="B84" s="36"/>
      <c r="C84" s="1"/>
    </row>
    <row r="85" spans="1:3" ht="40.9" customHeight="1">
      <c r="A85" s="56"/>
      <c r="B85" s="57"/>
      <c r="C85" s="58"/>
    </row>
    <row r="86" spans="1:3" ht="40.9" customHeight="1">
      <c r="A86" s="56" t="s">
        <v>44</v>
      </c>
      <c r="B86" s="57"/>
      <c r="C86" s="58" t="s">
        <v>70</v>
      </c>
    </row>
  </sheetData>
  <mergeCells count="5">
    <mergeCell ref="A80:C80"/>
    <mergeCell ref="A81:C81"/>
    <mergeCell ref="A82:C82"/>
    <mergeCell ref="A6:D6"/>
    <mergeCell ref="A7:C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Первомайская 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2015-05-12T03:12:22Z</dcterms:modified>
</cp:coreProperties>
</file>