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Интернациональная, 31" sheetId="1" r:id="rId1"/>
  </sheets>
  <definedNames/>
  <calcPr fullCalcOnLoad="1"/>
</workbook>
</file>

<file path=xl/sharedStrings.xml><?xml version="1.0" encoding="utf-8"?>
<sst xmlns="http://schemas.openxmlformats.org/spreadsheetml/2006/main" count="153" uniqueCount="136">
  <si>
    <t>УТВЕРЖДАЮ</t>
  </si>
  <si>
    <t>И. о. директора ОАО" УЖХ</t>
  </si>
  <si>
    <t>Орджоникидзевского района"</t>
  </si>
  <si>
    <t>____________________Р.А. Янышев</t>
  </si>
  <si>
    <t>План работ, согласно Постановлению Правительства РФ №731 от 23 сентября 2010г. п.11 пп.б.</t>
  </si>
  <si>
    <t>Смета доходов  и расходов на содержание и текущий ремонт общедомового имущества дома № 31,  ул. Интернациональная на 2014г.</t>
  </si>
  <si>
    <t>Общая площадь, кв. м.</t>
  </si>
  <si>
    <t xml:space="preserve">         ЖЭУ-69              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</si>
  <si>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</si>
  <si>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</si>
  <si>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</si>
  <si>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</si>
  <si>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исполнения</t>
  </si>
  <si>
    <t>К-во кв.</t>
  </si>
  <si>
    <t>1.Начисление населению</t>
  </si>
  <si>
    <t>1290,2кв.м.*19,25руб.*12 мес.</t>
  </si>
  <si>
    <t>1 раз в мес.</t>
  </si>
  <si>
    <t>к-во польз. Усл.</t>
  </si>
  <si>
    <t>в т. ч. вывоз мусора (население)</t>
  </si>
  <si>
    <t>((113,78руб./чел.в мес.*61чел.*6мес.*1,65/12)+(127,20 руб./чел.в мес.*61чел.*6мес.*1,65/12))*1,18</t>
  </si>
  <si>
    <t>Объем</t>
  </si>
  <si>
    <t>2. Начисление по нежилым помещениям</t>
  </si>
  <si>
    <t>Пл. подвала</t>
  </si>
  <si>
    <t>ЗАО "Дом Моды" (186,3 кв.м)</t>
  </si>
  <si>
    <t>Пл. кровли</t>
  </si>
  <si>
    <t>Тех.обслуживание</t>
  </si>
  <si>
    <t>186,3кв.м.*18,25руб.*12мес.</t>
  </si>
  <si>
    <t>Пл. асфальта</t>
  </si>
  <si>
    <t>Вывоз мусора</t>
  </si>
  <si>
    <t>0,22куб.м.*176,76руб.*1,18*12мес.</t>
  </si>
  <si>
    <t>К-во л/сч</t>
  </si>
  <si>
    <t>Тр. На профосмотр</t>
  </si>
  <si>
    <t>к-во уб.л/кл</t>
  </si>
  <si>
    <t>к-во дворников</t>
  </si>
  <si>
    <t>Всего:</t>
  </si>
  <si>
    <t>непредвид</t>
  </si>
  <si>
    <t>3.Начисление арендаторам за установку кабелей ТВ</t>
  </si>
  <si>
    <t>"Кристалл"</t>
  </si>
  <si>
    <t>34,98 руб.*12мес.</t>
  </si>
  <si>
    <t>к-во мусоропроводчиков.</t>
  </si>
  <si>
    <t>"Вымпелком"</t>
  </si>
  <si>
    <t>137,5руб.*12мес.</t>
  </si>
  <si>
    <t>к-во мусоропроводов</t>
  </si>
  <si>
    <t>"ЭРТелеком"</t>
  </si>
  <si>
    <t>123,75руб.*12мес.</t>
  </si>
  <si>
    <t>к-во лифтов</t>
  </si>
  <si>
    <t>"Башинформсвязь"</t>
  </si>
  <si>
    <t>150,00руб.*12мес.</t>
  </si>
  <si>
    <t>ПУТЭ</t>
  </si>
  <si>
    <t>"Уфанет"</t>
  </si>
  <si>
    <t>т/о ВДГО</t>
  </si>
  <si>
    <t>"Скартел"</t>
  </si>
  <si>
    <t>Дымоходов</t>
  </si>
  <si>
    <t>4.Начисление за рекламу(аренда)</t>
  </si>
  <si>
    <t>Освид. Лифтов</t>
  </si>
  <si>
    <t>Итого:</t>
  </si>
  <si>
    <t>Комп. Об. Лифтов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</si>
  <si>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</si>
  <si>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</si>
  <si>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</si>
  <si>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</si>
  <si>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(0,22чел.*((3059+200)*1,15*1,5*1,083*1,302)+0,053руб./кв.м.асф.покр.*266кв.м.)*12 мес.</t>
  </si>
  <si>
    <t>ежедневно</t>
  </si>
  <si>
    <t>.-уборка лестничных клеток</t>
  </si>
  <si>
    <t>0чел*8184,66 руб./чел*12 мес.</t>
  </si>
  <si>
    <t>4 раз в мес.</t>
  </si>
  <si>
    <t>.-обслуживание мусоропровода</t>
  </si>
  <si>
    <t>((0,17чел.*8184,66 руб/чел.)+20квартир*8,74724руб/кв)*12</t>
  </si>
  <si>
    <t>.- вывоз КГМ</t>
  </si>
  <si>
    <t>(266,83руб./куб.м.*0,02куб.м.*61чел.)*12</t>
  </si>
  <si>
    <t>по графику</t>
  </si>
  <si>
    <t>-очистка вентканалов</t>
  </si>
  <si>
    <t>(16,21руб.*20вентк.)+(17,07руб.*20вентк.)</t>
  </si>
  <si>
    <t>2 раз в год</t>
  </si>
  <si>
    <t>.-проверка дымоходов</t>
  </si>
  <si>
    <t>(2раза в год*47,84 руб.*0 дымоходов)+(2 раза в год*50,38руб.*0дымоходов)</t>
  </si>
  <si>
    <t>1 раз в квартал</t>
  </si>
  <si>
    <t>.-дератизация</t>
  </si>
  <si>
    <t>(6раз в год*0,21 руб./мес.*365кв.м.)+(6раз в год*0,22руб.в мес.*365кв.м.)</t>
  </si>
  <si>
    <t>.-дезинсекция</t>
  </si>
  <si>
    <t>(2 раза в год*0,62руб./мес.*365кв.м.)+(2раза в год*0,65руб./мес.*365кв.м.)</t>
  </si>
  <si>
    <t>по заявкам</t>
  </si>
  <si>
    <t>.-т/о приборов учета тепловой энергии</t>
  </si>
  <si>
    <t>775,87руб./мес.*12 мес./1,18</t>
  </si>
  <si>
    <t>.-освидетельствование лифтов</t>
  </si>
  <si>
    <t>4190 руб./год./1,18*1л</t>
  </si>
  <si>
    <t>1 раз в год</t>
  </si>
  <si>
    <t>.-комплексное обслуживание лифтов</t>
  </si>
  <si>
    <t>(5419,44руб./мес.*12 мес.*1 лифта)</t>
  </si>
  <si>
    <t>.-вывоз мусора (население)САХ</t>
  </si>
  <si>
    <t>((113,78руб./чел.в мес.*61чел.*6мес.*1,65/12)+(127,20 руб./чел.в мес.*61чел.*6мес.*1,65/12))</t>
  </si>
  <si>
    <t>.-вывоз мусора (арендаторы)</t>
  </si>
  <si>
    <t>0,22куб.м.*176,76руб.*12мес.</t>
  </si>
  <si>
    <t>Всего по п.1:</t>
  </si>
  <si>
    <t>2.Техническая эксплуатация</t>
  </si>
  <si>
    <t>.-профосмотры:в т.ч.сезонные осмотры</t>
  </si>
  <si>
    <t>(6,31ч/час*82,67руб./час.+0,518руб./м.кв.*(1290,2+186,3кв.м.)*12мес.</t>
  </si>
  <si>
    <t>-очистка кровли от снега</t>
  </si>
  <si>
    <t>14,86руб./кв.м.*312,1кв.м.</t>
  </si>
  <si>
    <t>в зимний период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</si>
  <si>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</si>
  <si>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.-смена вентелей, задвижек</t>
  </si>
  <si>
    <t>.-гидравлические испытания и промывка системы отопления</t>
  </si>
  <si>
    <t>(560,69руб./куб.м.+208,49руб./куб.м./3)*7075/1000</t>
  </si>
  <si>
    <t>гидравлические испытания - 1 раз в год, промывка - 1 раз в 3 года</t>
  </si>
  <si>
    <t>-покраска металлических ограждений</t>
  </si>
  <si>
    <t>-резерв на непредвиденные работы</t>
  </si>
  <si>
    <t>(149,26ч/час*82,67руб./час)+(149,26ч/час*82,67руб./час/1,302)*25%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</si>
  <si>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</si>
  <si>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</si>
  <si>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</si>
  <si>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</si>
  <si>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</si>
  <si>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</si>
  <si>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</si>
  <si>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- ремонт лестничной клетки</t>
  </si>
  <si>
    <t>Всего по п.3:</t>
  </si>
  <si>
    <t>4.Аварийно-ремонтная служба</t>
  </si>
  <si>
    <t>2,096 руб./кв.м.*(1290,2+186,3)кв.м.</t>
  </si>
  <si>
    <t>5.ОДС</t>
  </si>
  <si>
    <t>1,28руб./кв.м*(1290,2+186,3)кв.м.</t>
  </si>
  <si>
    <t>6. Общеэксплуатационные расходы</t>
  </si>
  <si>
    <t>Прямые расходы*0,166*</t>
  </si>
  <si>
    <t>7. Услуги по начислению и сбору платежей</t>
  </si>
  <si>
    <t>0,86руб./кв.м.*1290,2кв.м.*12мес.</t>
  </si>
  <si>
    <t xml:space="preserve">8.Управление домом </t>
  </si>
  <si>
    <t>(Прямые расходы+общеэкспуатационные расходы)*0,159</t>
  </si>
  <si>
    <t>Всего по п.4-8:</t>
  </si>
  <si>
    <t>Рентабельность, 3%</t>
  </si>
  <si>
    <t>Итого стоимость услуг с НДС:</t>
  </si>
  <si>
    <t>В расходной части сметы не учтены затраты на текущий ремонт МКД.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</si>
  <si>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</si>
  <si>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</si>
  <si>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Начальник ПЭО </t>
  </si>
  <si>
    <t>А. М. Андреев</t>
  </si>
  <si>
    <t>Остаток средств на 07.2013г.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</si>
</sst>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9"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 wrapText="1"/>
    </xf>
    <xf numFmtId="164" fontId="5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7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3" xfId="0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7.57421875" style="0" customWidth="1"/>
    <col min="2" max="2" width="10.57421875" style="0" customWidth="1"/>
    <col min="3" max="3" width="39.7109375" style="0" customWidth="1"/>
    <col min="4" max="4" width="12.28125" style="0" customWidth="1"/>
    <col min="5" max="7" width="0" style="0" hidden="1" customWidth="1"/>
    <col min="8" max="16384" width="11.57421875" style="0" customWidth="1"/>
  </cols>
  <sheetData>
    <row r="1" spans="1:3" ht="12.75">
      <c r="A1" s="1"/>
      <c r="B1" s="1"/>
      <c r="C1" s="1" t="s">
        <v>0</v>
      </c>
    </row>
    <row r="2" spans="1:3" ht="12.75">
      <c r="A2" s="1"/>
      <c r="B2" s="1"/>
      <c r="C2" s="1" t="s">
        <v>1</v>
      </c>
    </row>
    <row r="3" spans="1:3" ht="12.75">
      <c r="A3" s="1"/>
      <c r="B3" s="1"/>
      <c r="C3" s="1" t="s">
        <v>2</v>
      </c>
    </row>
    <row r="4" spans="1:3" ht="12.75">
      <c r="A4" s="1"/>
      <c r="B4" s="1"/>
      <c r="C4" s="1"/>
    </row>
    <row r="5" spans="1:3" ht="12.75">
      <c r="A5" s="1"/>
      <c r="B5" s="1"/>
      <c r="C5" s="1" t="s">
        <v>3</v>
      </c>
    </row>
    <row r="6" spans="1:3" ht="12.75">
      <c r="A6" s="1"/>
      <c r="B6" s="1"/>
      <c r="C6" s="1"/>
    </row>
    <row r="7" spans="1:4" ht="41.25" customHeight="1">
      <c r="A7" s="2" t="s">
        <v>4</v>
      </c>
      <c r="B7" s="2"/>
      <c r="C7" s="2"/>
      <c r="D7" s="2"/>
    </row>
    <row r="8" spans="1:4" ht="34.5" customHeight="1">
      <c r="A8" s="3" t="s">
        <v>5</v>
      </c>
      <c r="B8" s="3"/>
      <c r="C8" s="3"/>
      <c r="D8" s="3"/>
    </row>
    <row r="9" spans="1:3" ht="12.75">
      <c r="A9" s="4"/>
      <c r="B9" s="1"/>
      <c r="C9" s="1"/>
    </row>
    <row r="10" spans="1:3" ht="12.75">
      <c r="A10" s="1"/>
      <c r="B10" s="1"/>
      <c r="C10" s="1"/>
    </row>
    <row r="11" spans="1:3" ht="12.75">
      <c r="A11" s="5" t="s">
        <v>6</v>
      </c>
      <c r="B11" s="6">
        <v>1290.2</v>
      </c>
      <c r="C11" s="6" t="s">
        <v>7</v>
      </c>
    </row>
    <row r="12" spans="1:3" ht="12.75">
      <c r="A12" s="5" t="s">
        <v>8</v>
      </c>
      <c r="B12" s="6">
        <v>186.3</v>
      </c>
      <c r="C12" s="6"/>
    </row>
    <row r="13" spans="1:7" ht="30.75" customHeight="1">
      <c r="A13" s="7" t="s">
        <v>9</v>
      </c>
      <c r="B13" s="7" t="s">
        <v>10</v>
      </c>
      <c r="C13" s="7" t="s">
        <v>11</v>
      </c>
      <c r="D13" s="8" t="s">
        <v>12</v>
      </c>
      <c r="E13" s="9" t="s">
        <v>13</v>
      </c>
      <c r="F13">
        <v>20</v>
      </c>
      <c r="G13">
        <v>19.25</v>
      </c>
    </row>
    <row r="14" spans="1:6" ht="24" customHeight="1">
      <c r="A14" s="10" t="s">
        <v>14</v>
      </c>
      <c r="B14" s="11">
        <f>B11*G13*12</f>
        <v>298036.2</v>
      </c>
      <c r="C14" s="10" t="s">
        <v>15</v>
      </c>
      <c r="D14" s="12" t="s">
        <v>16</v>
      </c>
      <c r="E14" t="s">
        <v>17</v>
      </c>
      <c r="F14">
        <v>61</v>
      </c>
    </row>
    <row r="15" spans="1:6" ht="66" customHeight="1">
      <c r="A15" s="10" t="s">
        <v>18</v>
      </c>
      <c r="B15" s="11">
        <f>((113.78*1.65/12*F14*6)+(127.2*1.65/12*F14*6))*1.18</f>
        <v>14310.235829999998</v>
      </c>
      <c r="C15" s="10" t="s">
        <v>19</v>
      </c>
      <c r="D15" s="12"/>
      <c r="E15" t="s">
        <v>20</v>
      </c>
      <c r="F15">
        <v>7075</v>
      </c>
    </row>
    <row r="16" spans="1:6" ht="19.5" customHeight="1">
      <c r="A16" s="10" t="s">
        <v>21</v>
      </c>
      <c r="B16" s="11">
        <f>B17+B20</f>
        <v>41350.342752000004</v>
      </c>
      <c r="C16" s="10"/>
      <c r="D16" s="12" t="s">
        <v>16</v>
      </c>
      <c r="E16" t="s">
        <v>22</v>
      </c>
      <c r="F16">
        <v>365</v>
      </c>
    </row>
    <row r="17" spans="1:6" ht="12.75">
      <c r="A17" s="10" t="s">
        <v>23</v>
      </c>
      <c r="B17" s="11">
        <f>B18+B19</f>
        <v>41350.342752000004</v>
      </c>
      <c r="C17" s="10"/>
      <c r="D17" s="12"/>
      <c r="E17" t="s">
        <v>24</v>
      </c>
      <c r="F17">
        <v>312.1</v>
      </c>
    </row>
    <row r="18" spans="1:6" ht="12.75">
      <c r="A18" s="10" t="s">
        <v>25</v>
      </c>
      <c r="B18" s="11">
        <f>186.3*18.25*12</f>
        <v>40799.700000000004</v>
      </c>
      <c r="C18" s="10" t="s">
        <v>26</v>
      </c>
      <c r="D18" s="12"/>
      <c r="E18" t="s">
        <v>27</v>
      </c>
      <c r="F18">
        <v>266</v>
      </c>
    </row>
    <row r="19" spans="1:6" ht="12.75">
      <c r="A19" s="10" t="s">
        <v>28</v>
      </c>
      <c r="B19" s="11">
        <f>0.22*176.76*1.18*12</f>
        <v>550.642752</v>
      </c>
      <c r="C19" s="10" t="s">
        <v>29</v>
      </c>
      <c r="D19" s="12"/>
      <c r="E19" t="s">
        <v>30</v>
      </c>
      <c r="F19">
        <v>20</v>
      </c>
    </row>
    <row r="20" spans="1:6" ht="12.75">
      <c r="A20" s="10"/>
      <c r="B20" s="11"/>
      <c r="C20" s="10"/>
      <c r="D20" s="12"/>
      <c r="E20" t="s">
        <v>31</v>
      </c>
      <c r="F20">
        <v>6.31</v>
      </c>
    </row>
    <row r="21" spans="1:6" ht="12.75">
      <c r="A21" s="10"/>
      <c r="B21" s="11"/>
      <c r="C21" s="10"/>
      <c r="D21" s="12"/>
      <c r="E21" t="s">
        <v>32</v>
      </c>
      <c r="F21">
        <v>0</v>
      </c>
    </row>
    <row r="22" spans="1:6" ht="12.75">
      <c r="A22" s="10"/>
      <c r="B22" s="11"/>
      <c r="C22" s="10"/>
      <c r="D22" s="12"/>
      <c r="E22" t="s">
        <v>33</v>
      </c>
      <c r="F22">
        <v>0.22</v>
      </c>
    </row>
    <row r="23" spans="1:6" ht="21" customHeight="1">
      <c r="A23" s="10" t="s">
        <v>34</v>
      </c>
      <c r="B23" s="11">
        <f>B16+B14</f>
        <v>339386.54275200004</v>
      </c>
      <c r="C23" s="10"/>
      <c r="D23" s="12"/>
      <c r="E23" t="s">
        <v>35</v>
      </c>
      <c r="F23">
        <v>149.26</v>
      </c>
    </row>
    <row r="24" spans="1:6" ht="30.75" customHeight="1">
      <c r="A24" s="10" t="s">
        <v>36</v>
      </c>
      <c r="B24" s="13">
        <f>B25+B26+B27+B28+B29+B30</f>
        <v>5189.76</v>
      </c>
      <c r="C24" s="10"/>
      <c r="D24" s="12" t="s">
        <v>16</v>
      </c>
      <c r="F24">
        <v>0.86</v>
      </c>
    </row>
    <row r="25" spans="1:6" ht="21.75" customHeight="1">
      <c r="A25" s="10" t="s">
        <v>37</v>
      </c>
      <c r="B25" s="13">
        <f>34.98*12</f>
        <v>419.76</v>
      </c>
      <c r="C25" s="10" t="s">
        <v>38</v>
      </c>
      <c r="D25" s="12"/>
      <c r="E25" s="14" t="s">
        <v>39</v>
      </c>
      <c r="F25">
        <v>0.17</v>
      </c>
    </row>
    <row r="26" spans="1:6" ht="21.75" customHeight="1">
      <c r="A26" s="10" t="s">
        <v>40</v>
      </c>
      <c r="B26" s="13">
        <f>0*12</f>
        <v>0</v>
      </c>
      <c r="C26" s="10" t="s">
        <v>41</v>
      </c>
      <c r="D26" s="12"/>
      <c r="E26" s="14" t="s">
        <v>42</v>
      </c>
      <c r="F26">
        <v>1</v>
      </c>
    </row>
    <row r="27" spans="1:6" ht="21.75" customHeight="1">
      <c r="A27" s="10" t="s">
        <v>43</v>
      </c>
      <c r="B27" s="13">
        <f>123.75*12</f>
        <v>1485</v>
      </c>
      <c r="C27" s="10" t="s">
        <v>44</v>
      </c>
      <c r="D27" s="12"/>
      <c r="E27" t="s">
        <v>45</v>
      </c>
      <c r="F27">
        <v>1</v>
      </c>
    </row>
    <row r="28" spans="1:6" ht="21.75" customHeight="1">
      <c r="A28" s="10" t="s">
        <v>46</v>
      </c>
      <c r="B28" s="13">
        <f>150*12</f>
        <v>1800</v>
      </c>
      <c r="C28" s="10" t="s">
        <v>47</v>
      </c>
      <c r="D28" s="12"/>
      <c r="E28" t="s">
        <v>48</v>
      </c>
      <c r="F28">
        <v>0</v>
      </c>
    </row>
    <row r="29" spans="1:6" ht="21.75" customHeight="1">
      <c r="A29" s="10" t="s">
        <v>49</v>
      </c>
      <c r="B29" s="13">
        <f>123.75*12</f>
        <v>1485</v>
      </c>
      <c r="C29" s="10" t="s">
        <v>44</v>
      </c>
      <c r="D29" s="12"/>
      <c r="E29" t="s">
        <v>50</v>
      </c>
      <c r="F29">
        <v>0</v>
      </c>
    </row>
    <row r="30" spans="1:6" ht="21.75" customHeight="1">
      <c r="A30" s="10" t="s">
        <v>51</v>
      </c>
      <c r="B30" s="13">
        <f>0*12</f>
        <v>0</v>
      </c>
      <c r="C30" s="10" t="s">
        <v>41</v>
      </c>
      <c r="D30" s="12"/>
      <c r="E30" t="s">
        <v>52</v>
      </c>
      <c r="F30">
        <v>0</v>
      </c>
    </row>
    <row r="31" spans="1:6" ht="21.75" customHeight="1">
      <c r="A31" s="10" t="s">
        <v>53</v>
      </c>
      <c r="B31" s="13">
        <v>0</v>
      </c>
      <c r="C31" s="10"/>
      <c r="D31" s="12"/>
      <c r="E31" t="s">
        <v>54</v>
      </c>
      <c r="F31">
        <v>4190</v>
      </c>
    </row>
    <row r="32" spans="1:6" ht="21.75" customHeight="1">
      <c r="A32" s="10" t="s">
        <v>55</v>
      </c>
      <c r="B32" s="11">
        <f>B23+B24+B31</f>
        <v>344576.30275200005</v>
      </c>
      <c r="C32" s="10"/>
      <c r="D32" s="12"/>
      <c r="E32" t="s">
        <v>56</v>
      </c>
      <c r="F32">
        <v>5419.44</v>
      </c>
    </row>
    <row r="33" spans="1:4" ht="30.75" customHeight="1">
      <c r="A33" s="15" t="s">
        <v>57</v>
      </c>
      <c r="B33" s="7" t="s">
        <v>10</v>
      </c>
      <c r="C33" s="7" t="s">
        <v>58</v>
      </c>
      <c r="D33" s="12"/>
    </row>
    <row r="34" spans="1:4" ht="21.75" customHeight="1">
      <c r="A34" s="10" t="s">
        <v>59</v>
      </c>
      <c r="B34" s="13"/>
      <c r="C34" s="10"/>
      <c r="D34" s="16"/>
    </row>
    <row r="35" spans="1:4" ht="44.25" customHeight="1">
      <c r="A35" s="10" t="s">
        <v>60</v>
      </c>
      <c r="B35" s="11">
        <f>(F22*((3059+200)*1.15*1.5*1.083*1.302)+0.053*F18)*12</f>
        <v>21096.650798076</v>
      </c>
      <c r="C35" s="10" t="s">
        <v>61</v>
      </c>
      <c r="D35" s="12" t="s">
        <v>62</v>
      </c>
    </row>
    <row r="36" spans="1:4" ht="33.75" customHeight="1">
      <c r="A36" s="10" t="s">
        <v>63</v>
      </c>
      <c r="B36" s="11">
        <f>F21*8184.66*12</f>
        <v>0</v>
      </c>
      <c r="C36" s="10" t="s">
        <v>64</v>
      </c>
      <c r="D36" s="12" t="s">
        <v>65</v>
      </c>
    </row>
    <row r="37" spans="1:4" ht="41.25" customHeight="1">
      <c r="A37" s="10" t="s">
        <v>66</v>
      </c>
      <c r="B37" s="11">
        <f>((F25*8184.66)+F13*8.74724)*12</f>
        <v>18796.044</v>
      </c>
      <c r="C37" s="10" t="s">
        <v>67</v>
      </c>
      <c r="D37" s="12" t="s">
        <v>62</v>
      </c>
    </row>
    <row r="38" spans="1:4" ht="33.75" customHeight="1">
      <c r="A38" s="10" t="s">
        <v>68</v>
      </c>
      <c r="B38" s="11">
        <f>266.83*0.02*F14*12</f>
        <v>3906.3912</v>
      </c>
      <c r="C38" s="10" t="s">
        <v>69</v>
      </c>
      <c r="D38" s="12" t="s">
        <v>70</v>
      </c>
    </row>
    <row r="39" spans="1:4" ht="33.75" customHeight="1">
      <c r="A39" s="10" t="s">
        <v>71</v>
      </c>
      <c r="B39" s="13">
        <f>(16.21*F13)+(17.07*F13)</f>
        <v>665.6</v>
      </c>
      <c r="C39" s="10" t="s">
        <v>72</v>
      </c>
      <c r="D39" s="12" t="s">
        <v>73</v>
      </c>
    </row>
    <row r="40" spans="1:4" ht="33.75" customHeight="1">
      <c r="A40" s="10" t="s">
        <v>74</v>
      </c>
      <c r="B40" s="11">
        <f>(2*47.84*F30)+(2*50.38*F30)</f>
        <v>0</v>
      </c>
      <c r="C40" s="10" t="s">
        <v>75</v>
      </c>
      <c r="D40" s="12" t="s">
        <v>76</v>
      </c>
    </row>
    <row r="41" spans="1:4" ht="42" customHeight="1">
      <c r="A41" s="10" t="s">
        <v>77</v>
      </c>
      <c r="B41" s="11">
        <f>((6*0.21*F16)+(6*0.22*F16))</f>
        <v>941.7</v>
      </c>
      <c r="C41" s="10" t="s">
        <v>78</v>
      </c>
      <c r="D41" s="17" t="s">
        <v>16</v>
      </c>
    </row>
    <row r="42" spans="1:4" ht="45.75" customHeight="1">
      <c r="A42" s="10" t="s">
        <v>79</v>
      </c>
      <c r="B42" s="11">
        <f>(2*0.62*F16)+(2*0.65*F16)</f>
        <v>927.1</v>
      </c>
      <c r="C42" s="10" t="s">
        <v>80</v>
      </c>
      <c r="D42" s="17" t="s">
        <v>81</v>
      </c>
    </row>
    <row r="43" spans="1:4" ht="33.75" customHeight="1">
      <c r="A43" s="10" t="s">
        <v>82</v>
      </c>
      <c r="B43" s="11">
        <f>F28*12/1.18</f>
        <v>0</v>
      </c>
      <c r="C43" s="10" t="s">
        <v>83</v>
      </c>
      <c r="D43" s="12" t="s">
        <v>16</v>
      </c>
    </row>
    <row r="44" spans="1:4" ht="33.75" customHeight="1">
      <c r="A44" s="10" t="s">
        <v>84</v>
      </c>
      <c r="B44" s="11">
        <f>F31*F27/1.18</f>
        <v>3550.8474576271187</v>
      </c>
      <c r="C44" s="10" t="s">
        <v>85</v>
      </c>
      <c r="D44" s="12" t="s">
        <v>86</v>
      </c>
    </row>
    <row r="45" spans="1:4" ht="33.75" customHeight="1">
      <c r="A45" s="10" t="s">
        <v>87</v>
      </c>
      <c r="B45" s="11">
        <f>F32*12*F27</f>
        <v>65033.28</v>
      </c>
      <c r="C45" s="10" t="s">
        <v>88</v>
      </c>
      <c r="D45" s="12" t="s">
        <v>16</v>
      </c>
    </row>
    <row r="46" spans="1:4" ht="49.5" customHeight="1">
      <c r="A46" s="10" t="s">
        <v>89</v>
      </c>
      <c r="B46" s="11">
        <f>(113.78*1.65/12*F14*6)+(127.2*1.65/12*F14*6)</f>
        <v>12127.3185</v>
      </c>
      <c r="C46" s="10" t="s">
        <v>90</v>
      </c>
      <c r="D46" s="12" t="s">
        <v>70</v>
      </c>
    </row>
    <row r="47" spans="1:4" ht="33.75" customHeight="1">
      <c r="A47" s="10" t="s">
        <v>91</v>
      </c>
      <c r="B47" s="11">
        <f>0.22*176.76*12</f>
        <v>466.64639999999997</v>
      </c>
      <c r="C47" s="10" t="s">
        <v>92</v>
      </c>
      <c r="D47" s="12" t="s">
        <v>70</v>
      </c>
    </row>
    <row r="48" spans="1:4" ht="21.75" customHeight="1">
      <c r="A48" s="10" t="s">
        <v>93</v>
      </c>
      <c r="B48" s="11">
        <f>B35+B36+B37+B38+B39+B40+B41+B42+B43+B44+B45+B46+B47</f>
        <v>127511.5783557031</v>
      </c>
      <c r="C48" s="10"/>
      <c r="D48" s="16"/>
    </row>
    <row r="49" spans="1:4" ht="21.75" customHeight="1">
      <c r="A49" s="10" t="s">
        <v>94</v>
      </c>
      <c r="B49" s="13"/>
      <c r="C49" s="10"/>
      <c r="D49" s="12"/>
    </row>
    <row r="50" spans="1:4" ht="39.75" customHeight="1">
      <c r="A50" s="10" t="s">
        <v>95</v>
      </c>
      <c r="B50" s="11">
        <f>(F20*82.67+0.518*(B11+B12)*12)</f>
        <v>9699.571699999999</v>
      </c>
      <c r="C50" s="10" t="s">
        <v>96</v>
      </c>
      <c r="D50" s="12"/>
    </row>
    <row r="51" spans="1:4" ht="21.75" customHeight="1">
      <c r="A51" s="10" t="s">
        <v>97</v>
      </c>
      <c r="B51" s="13">
        <f>14.86*F17</f>
        <v>4637.8060000000005</v>
      </c>
      <c r="C51" s="10" t="s">
        <v>98</v>
      </c>
      <c r="D51" s="17" t="s">
        <v>99</v>
      </c>
    </row>
    <row r="52" spans="1:4" ht="141" customHeight="1">
      <c r="A52" s="10" t="s">
        <v>100</v>
      </c>
      <c r="B52" s="11">
        <v>0</v>
      </c>
      <c r="C52" s="10"/>
      <c r="D52" s="12"/>
    </row>
    <row r="53" spans="1:4" ht="21.75" customHeight="1">
      <c r="A53" s="10" t="s">
        <v>101</v>
      </c>
      <c r="B53" s="11">
        <v>0</v>
      </c>
      <c r="C53" s="10"/>
      <c r="D53" s="17"/>
    </row>
    <row r="54" spans="1:4" ht="39.75" customHeight="1">
      <c r="A54" s="10" t="s">
        <v>102</v>
      </c>
      <c r="B54" s="11">
        <f>(560.69+208.49/3)*F15/1000</f>
        <v>4458.570666666667</v>
      </c>
      <c r="C54" s="10" t="s">
        <v>103</v>
      </c>
      <c r="D54" s="17" t="s">
        <v>104</v>
      </c>
    </row>
    <row r="55" spans="1:4" ht="21.75" customHeight="1">
      <c r="A55" s="10" t="s">
        <v>105</v>
      </c>
      <c r="B55" s="11">
        <v>0</v>
      </c>
      <c r="C55" s="10"/>
      <c r="D55" s="12"/>
    </row>
    <row r="56" spans="1:4" ht="33" customHeight="1">
      <c r="A56" s="10" t="s">
        <v>106</v>
      </c>
      <c r="B56" s="11">
        <f>(F23*82.67)+(F23*82.67/1.302)*0.25</f>
        <v>14708.62608172043</v>
      </c>
      <c r="C56" s="10" t="s">
        <v>107</v>
      </c>
      <c r="D56" s="12"/>
    </row>
    <row r="57" spans="1:4" ht="21.75" customHeight="1">
      <c r="A57" s="10" t="s">
        <v>108</v>
      </c>
      <c r="B57" s="11">
        <f>B50+B51+B52+B53+B54+B55+B56</f>
        <v>33504.574448387095</v>
      </c>
      <c r="C57" s="10"/>
      <c r="D57" s="12"/>
    </row>
    <row r="58" spans="1:4" ht="21.75" customHeight="1">
      <c r="A58" s="10" t="s">
        <v>109</v>
      </c>
      <c r="B58" s="13"/>
      <c r="C58" s="10"/>
      <c r="D58" s="12"/>
    </row>
    <row r="59" spans="1:4" ht="21.75" customHeight="1">
      <c r="A59" s="10" t="s">
        <v>110</v>
      </c>
      <c r="B59" s="13"/>
      <c r="C59" s="10"/>
      <c r="D59" s="12"/>
    </row>
    <row r="60" spans="1:4" ht="21.75" customHeight="1">
      <c r="A60" s="10" t="s">
        <v>111</v>
      </c>
      <c r="B60" s="13"/>
      <c r="C60" s="10"/>
      <c r="D60" s="12"/>
    </row>
    <row r="61" spans="1:4" ht="21.75" customHeight="1">
      <c r="A61" s="10" t="s">
        <v>112</v>
      </c>
      <c r="B61" s="13"/>
      <c r="C61" s="10"/>
      <c r="D61" s="12"/>
    </row>
    <row r="62" spans="1:4" ht="21.75" customHeight="1">
      <c r="A62" s="10" t="s">
        <v>113</v>
      </c>
      <c r="B62" s="13"/>
      <c r="C62" s="10"/>
      <c r="D62" s="12"/>
    </row>
    <row r="63" spans="1:4" ht="21.75" customHeight="1">
      <c r="A63" s="10" t="s">
        <v>114</v>
      </c>
      <c r="B63" s="13"/>
      <c r="C63" s="10"/>
      <c r="D63" s="12"/>
    </row>
    <row r="64" spans="1:4" ht="21.75" customHeight="1">
      <c r="A64" s="10" t="s">
        <v>115</v>
      </c>
      <c r="B64" s="13"/>
      <c r="C64" s="10"/>
      <c r="D64" s="12"/>
    </row>
    <row r="65" spans="1:4" ht="21.75" customHeight="1">
      <c r="A65" s="10" t="s">
        <v>116</v>
      </c>
      <c r="B65" s="13">
        <f>B59+B60+B61+B62+B63+B64</f>
        <v>0</v>
      </c>
      <c r="C65" s="10"/>
      <c r="D65" s="12"/>
    </row>
    <row r="66" spans="1:4" ht="21.75" customHeight="1">
      <c r="A66" s="10" t="s">
        <v>117</v>
      </c>
      <c r="B66" s="11">
        <f>2.096*(B11+B12)</f>
        <v>3094.744</v>
      </c>
      <c r="C66" s="10" t="s">
        <v>118</v>
      </c>
      <c r="D66" s="12" t="s">
        <v>16</v>
      </c>
    </row>
    <row r="67" spans="1:4" ht="21.75" customHeight="1">
      <c r="A67" s="10" t="s">
        <v>119</v>
      </c>
      <c r="B67" s="11">
        <f>1.28*(B11+B12)</f>
        <v>1889.92</v>
      </c>
      <c r="C67" s="10" t="s">
        <v>120</v>
      </c>
      <c r="D67" s="12" t="s">
        <v>16</v>
      </c>
    </row>
    <row r="68" spans="1:4" ht="21.75" customHeight="1">
      <c r="A68" s="10" t="s">
        <v>121</v>
      </c>
      <c r="B68" s="11">
        <f>(B48+B57)*0.166</f>
        <v>26728.68136547897</v>
      </c>
      <c r="C68" s="10" t="s">
        <v>122</v>
      </c>
      <c r="D68" s="12" t="s">
        <v>16</v>
      </c>
    </row>
    <row r="69" spans="1:4" ht="21.75" customHeight="1">
      <c r="A69" s="10" t="s">
        <v>123</v>
      </c>
      <c r="B69" s="11">
        <f>F24*B11*12</f>
        <v>13314.864000000001</v>
      </c>
      <c r="C69" s="10" t="s">
        <v>124</v>
      </c>
      <c r="D69" s="12" t="s">
        <v>16</v>
      </c>
    </row>
    <row r="70" spans="1:4" ht="32.25" customHeight="1">
      <c r="A70" s="10" t="s">
        <v>125</v>
      </c>
      <c r="B70" s="18">
        <f>(B48+B57+B68)*0.159</f>
        <v>29851.42863296149</v>
      </c>
      <c r="C70" s="10" t="s">
        <v>126</v>
      </c>
      <c r="D70" s="12" t="s">
        <v>16</v>
      </c>
    </row>
    <row r="71" spans="1:4" ht="21.75" customHeight="1">
      <c r="A71" s="10" t="s">
        <v>127</v>
      </c>
      <c r="B71" s="11">
        <f>B66+B67+B68+B69+B70</f>
        <v>74879.63799844046</v>
      </c>
      <c r="C71" s="10"/>
      <c r="D71" s="12"/>
    </row>
    <row r="72" spans="1:4" ht="21.75" customHeight="1">
      <c r="A72" s="10" t="s">
        <v>128</v>
      </c>
      <c r="B72" s="11">
        <f>(B48+B57+B65+B71)*3%</f>
        <v>7076.873724075919</v>
      </c>
      <c r="C72" s="10"/>
      <c r="D72" s="12"/>
    </row>
    <row r="73" spans="1:4" ht="21.75" customHeight="1">
      <c r="A73" s="10" t="s">
        <v>55</v>
      </c>
      <c r="B73" s="11">
        <f>B48+B57+B65+B71+B72</f>
        <v>242972.66452660656</v>
      </c>
      <c r="C73" s="10"/>
      <c r="D73" s="12"/>
    </row>
    <row r="74" spans="1:4" ht="21.75" customHeight="1">
      <c r="A74" s="10" t="s">
        <v>129</v>
      </c>
      <c r="B74" s="11">
        <f>B73*1.18</f>
        <v>286707.7441413957</v>
      </c>
      <c r="C74" s="10"/>
      <c r="D74" s="12"/>
    </row>
    <row r="75" spans="1:4" ht="21.75" customHeight="1">
      <c r="A75" s="19"/>
      <c r="B75" s="20">
        <f>B32-B74</f>
        <v>57868.55861060432</v>
      </c>
      <c r="C75" s="19"/>
      <c r="D75" s="16"/>
    </row>
    <row r="76" ht="30.75" customHeight="1"/>
    <row r="77" spans="1:3" ht="30.75" customHeight="1">
      <c r="A77" s="21" t="s">
        <v>130</v>
      </c>
      <c r="B77" s="21"/>
      <c r="C77" s="21"/>
    </row>
    <row r="78" spans="1:3" ht="30.75" customHeight="1">
      <c r="A78" s="21" t="s">
        <v>131</v>
      </c>
      <c r="B78" s="21"/>
      <c r="C78" s="21"/>
    </row>
    <row r="79" spans="1:3" ht="46.5" customHeight="1">
      <c r="A79" s="22" t="s">
        <v>132</v>
      </c>
      <c r="B79" s="22"/>
      <c r="C79" s="22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 t="s">
        <v>133</v>
      </c>
      <c r="B84" s="1"/>
      <c r="C84" s="1" t="s">
        <v>134</v>
      </c>
    </row>
    <row r="86" spans="1:3" ht="12.75">
      <c r="A86" s="23" t="s">
        <v>135</v>
      </c>
      <c r="B86" s="24"/>
      <c r="C86" s="24">
        <v>-46879.46</v>
      </c>
    </row>
  </sheetData>
  <sheetProtection selectLockedCells="1" selectUnlockedCells="1"/>
  <mergeCells count="5">
    <mergeCell ref="A7:D7"/>
    <mergeCell ref="A8:C8"/>
    <mergeCell ref="A77:C77"/>
    <mergeCell ref="A78:C78"/>
    <mergeCell ref="A79:C7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2015-07-24T07:16:34Z</dcterms:created>
  <dcterms:modified xsi:type="dcterms:W3CDTF">2015-07-24T07:16:46Z</dcterms:modified>
  <cp:category/>
  <cp:version/>
  <cp:contentType/>
  <cp:contentStatus/>
  <cp:revision>1</cp:revision>
</cp:coreProperties>
</file>