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ysthesizz\Documents\19.05.2015\78\"/>
    </mc:Choice>
  </mc:AlternateContent>
  <bookViews>
    <workbookView xWindow="0" yWindow="0" windowWidth="19200" windowHeight="11595"/>
  </bookViews>
  <sheets>
    <sheet name="А.Невск.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9" i="1" l="1"/>
  <c r="C88" i="1"/>
  <c r="C87" i="1"/>
  <c r="C79" i="1"/>
  <c r="C78" i="1"/>
  <c r="C77" i="1"/>
  <c r="C76" i="1"/>
  <c r="C80" i="1" s="1"/>
  <c r="C75" i="1"/>
  <c r="C72" i="1"/>
  <c r="C71" i="1"/>
  <c r="C70" i="1"/>
  <c r="C69" i="1"/>
  <c r="C68" i="1"/>
  <c r="C67" i="1"/>
  <c r="C66" i="1"/>
  <c r="C65" i="1"/>
  <c r="C64" i="1"/>
  <c r="C63" i="1"/>
  <c r="C62" i="1"/>
  <c r="C61" i="1"/>
  <c r="C73" i="1" s="1"/>
  <c r="C60" i="1"/>
  <c r="C55" i="1"/>
  <c r="C54" i="1"/>
  <c r="C53" i="1"/>
  <c r="C52" i="1"/>
  <c r="C51" i="1"/>
  <c r="C50" i="1"/>
  <c r="C49" i="1" s="1"/>
  <c r="C47" i="1"/>
  <c r="C46" i="1"/>
  <c r="C45" i="1" s="1"/>
  <c r="C44" i="1"/>
  <c r="C43" i="1"/>
  <c r="C42" i="1"/>
  <c r="C41" i="1"/>
  <c r="C40" i="1"/>
  <c r="C39" i="1" s="1"/>
  <c r="C38" i="1"/>
  <c r="C37" i="1"/>
  <c r="C36" i="1"/>
  <c r="C35" i="1"/>
  <c r="C34" i="1"/>
  <c r="C33" i="1" s="1"/>
  <c r="C32" i="1"/>
  <c r="C31" i="1"/>
  <c r="C30" i="1"/>
  <c r="C29" i="1"/>
  <c r="C28" i="1"/>
  <c r="C27" i="1" s="1"/>
  <c r="C26" i="1"/>
  <c r="C25" i="1"/>
  <c r="C24" i="1"/>
  <c r="C23" i="1"/>
  <c r="C22" i="1"/>
  <c r="C21" i="1" s="1"/>
  <c r="C19" i="1"/>
  <c r="C18" i="1"/>
  <c r="C90" i="1" l="1"/>
  <c r="C48" i="1"/>
  <c r="C57" i="1" s="1"/>
  <c r="C20" i="1"/>
  <c r="C91" i="1" l="1"/>
  <c r="C92" i="1" s="1"/>
  <c r="C93" i="1" l="1"/>
  <c r="C94" i="1"/>
  <c r="C95" i="1" s="1"/>
  <c r="C97" i="1" l="1"/>
  <c r="C96" i="1"/>
</calcChain>
</file>

<file path=xl/sharedStrings.xml><?xml version="1.0" encoding="utf-8"?>
<sst xmlns="http://schemas.openxmlformats.org/spreadsheetml/2006/main" count="183" uniqueCount="135">
  <si>
    <t>УТВЕРЖДАЮ</t>
  </si>
  <si>
    <t>И. о. директора ОАО" УЖХ</t>
  </si>
  <si>
    <t>Орджоникидзевского района"</t>
  </si>
  <si>
    <t>____________________А.М. Андреев</t>
  </si>
  <si>
    <t>План работ на 2015г., согласно Постановлению Правительства РФ от 23 сентября 2010г. №731 п.11 пп.б</t>
  </si>
  <si>
    <t xml:space="preserve">Смета доходов  и расходов на содержание и текущий ремонт общедомового имущества дома №20,  ул. А.Невского </t>
  </si>
  <si>
    <t>Общая площадь, кв. м.</t>
  </si>
  <si>
    <t>ЖЭУ-78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</si>
  <si>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</si>
  <si>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</si>
  <si>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</si>
  <si>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</si>
  <si>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</si>
  <si>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1.Начисление населению</t>
  </si>
  <si>
    <t>4549,6кв.м.*13,05руб.*12 мес.</t>
  </si>
  <si>
    <t>1раз в месяц</t>
  </si>
  <si>
    <t>в т. ч. вывоз мусора (население)</t>
  </si>
  <si>
    <t>((127,11руб./куб.м.*210чел.*6мес.*1,65/12)+(144,83 руб./куб.м.*210чел.*6мес.*1,65/12))*1,18</t>
  </si>
  <si>
    <t>2. Начисление по нежилым помещениям</t>
  </si>
  <si>
    <t>1) Гильманшин Ф.Г. (58,3кв.м.)</t>
  </si>
  <si>
    <t>Тех.обслуживание</t>
  </si>
  <si>
    <t>58,3кв.м.*12,05руб.*12мес.</t>
  </si>
  <si>
    <t>Вывоз мусора</t>
  </si>
  <si>
    <t>0,88куб.м.*(178,32руб./куб.м.*1,18*6мес.+179,77руб./куб.м.*1,18*6мес.)</t>
  </si>
  <si>
    <t>2) ИП Сайдылова А.Н. (12,2кв.м.)</t>
  </si>
  <si>
    <t>12,2кв.м.*12,05руб.*12мес.</t>
  </si>
  <si>
    <t>0,52куб.м.*(178,32руб./куб.м.*1,18*6мес.+179,77руб./куб.м.*1,18*6мес.)</t>
  </si>
  <si>
    <t>3) Малышев О.В. (69,6кв.м.)</t>
  </si>
  <si>
    <t>69,6кв.м.*12,05руб.*12мес.</t>
  </si>
  <si>
    <t>0куб.м.*(178,32руб./куб.м.*1,18*6мес.+179,77руб./куб.м.*1,18*6мес.)</t>
  </si>
  <si>
    <t>4) ИП Серафимова Е.В. ((177,9+120,8)кв.м.)</t>
  </si>
  <si>
    <t>(177,9+120,8)кв.м.*12,05руб.*12мес.</t>
  </si>
  <si>
    <t>0,94куб.м.*(178,32руб./куб.м.*1,18*6мес.+179,77руб./куб.м.*1,18*6мес.)</t>
  </si>
  <si>
    <t>5) Художник Шамаева С.С. (69,4кв.м.)</t>
  </si>
  <si>
    <t>69,4кв.м.*12,05руб.*12мес.</t>
  </si>
  <si>
    <t>0,11куб.м.*(178,32руб./куб.м.*1,18*6мес.+179,77руб./куб.м.*1,18*6мес.)</t>
  </si>
  <si>
    <t>6) Художник Мельников В.А. (87,7кв.м.)</t>
  </si>
  <si>
    <t>87,7кв.м.*12,05руб.*12мес.</t>
  </si>
  <si>
    <t>7) Силин Ю.А. (58,5кв.м.)</t>
  </si>
  <si>
    <t>58,5кв.м.*12,05руб.*12мес.</t>
  </si>
  <si>
    <t>0,75куб.м.*(178,32руб./куб.м.*1,18*6мес.+179,77руб./куб.м.*1,18*6мес.)</t>
  </si>
  <si>
    <t>8) ЗАО "Нефтепромавтоматика" (175,1кв.м.)</t>
  </si>
  <si>
    <t>175,1кв.м.*12,05руб.*12мес.</t>
  </si>
  <si>
    <t>5,87куб.м.*(178,32руб./куб.м.*1,18*6мес.+179,77руб./куб.м.*1,18*6мес.)</t>
  </si>
  <si>
    <t>9) ИП Шумихин О.В. (154,7кв.м.)</t>
  </si>
  <si>
    <t>154,7кв.м.*12,05руб.*12мес.</t>
  </si>
  <si>
    <t>0,70куб.м.*(178,32руб./куб.м.*1,18*6мес.+179,77руб./куб.м.*1,18*6мес.)</t>
  </si>
  <si>
    <t>Всего:</t>
  </si>
  <si>
    <t>3.Начисление арендаторам за установку кабелей ТВ</t>
  </si>
  <si>
    <t>"Кристалл"</t>
  </si>
  <si>
    <t>34,98 руб.*12мес.</t>
  </si>
  <si>
    <t>"Вымпелком"</t>
  </si>
  <si>
    <t>137,50руб.*12мес.</t>
  </si>
  <si>
    <t>"ЭРТелеком"</t>
  </si>
  <si>
    <t>123,75руб.*12мес.</t>
  </si>
  <si>
    <t>"Уфанет"</t>
  </si>
  <si>
    <t>"Башинформсвязь"</t>
  </si>
  <si>
    <t>150,00руб.*12мес.</t>
  </si>
  <si>
    <t>"Скартел"</t>
  </si>
  <si>
    <t>4.Начисление за рекламу(аренда)</t>
  </si>
  <si>
    <t xml:space="preserve"> </t>
  </si>
  <si>
    <t>Итого: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</si>
  <si>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</si>
  <si>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</si>
  <si>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</si>
  <si>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</si>
  <si>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(0,66чел.*((3221+200)*1,15*1,5*1,083*1,302)+0,084руб./кв.м.асф.покр.*1570,6кв.м.)*12 мес.</t>
  </si>
  <si>
    <t>каждый день</t>
  </si>
  <si>
    <t>.-уборка лестничных клеток</t>
  </si>
  <si>
    <t>0чел*8618,11 руб./чел*12 мес.</t>
  </si>
  <si>
    <t>.-обслуживание мусоропровода</t>
  </si>
  <si>
    <t>((0чел.*8618,11 руб/чел.)+0квартир*10,20529руб/кв)*12</t>
  </si>
  <si>
    <t>.- вывоз КГМ</t>
  </si>
  <si>
    <t>(256,74руб./куб.м.*0,02куб.м.*210чел.*6мес)+(270,70руб./куб.м.*0,02куб.м.*210чел.*6мес)</t>
  </si>
  <si>
    <t>по графику</t>
  </si>
  <si>
    <t>-очистка вентканалов</t>
  </si>
  <si>
    <t>16,86руб.*75вентк.*2раза</t>
  </si>
  <si>
    <t>2раза в год</t>
  </si>
  <si>
    <t>.-проверка дымоходов</t>
  </si>
  <si>
    <t>4раза в год*49,72 руб.*0 дымоходов</t>
  </si>
  <si>
    <t>.-дератизация</t>
  </si>
  <si>
    <t>(6раз в год*0,24 руб./мес.*536,5кв.м.)+(6раз в год*0,25руб.в мес.*536,5кв.м.)</t>
  </si>
  <si>
    <t>.-дезинсекция</t>
  </si>
  <si>
    <t>(2 раза в год*2,22руб./мес.*536,5кв.м.)+(2раза в год*2,34руб./мес.*536,5кв.м.)</t>
  </si>
  <si>
    <t>4раза в год</t>
  </si>
  <si>
    <t>.-т/о приборов учета тепловой энергии</t>
  </si>
  <si>
    <t>(820,25руб./мес.*6 мес.+865,34руб./мес.*6мес.)/1,18</t>
  </si>
  <si>
    <t>.-т/о и ППР ЗПУ</t>
  </si>
  <si>
    <t>1069,67руб./мес.*12мес./1,18</t>
  </si>
  <si>
    <t>.-комплексное обслуживание лифтов</t>
  </si>
  <si>
    <t>0руб./мес.*12 мес.*2 лифта</t>
  </si>
  <si>
    <t>.-вывоз мусора (население)САХ</t>
  </si>
  <si>
    <t>(127,11руб./куб.м.*210чел.*6мес.*1,65/12)+(144,83 руб./куб.м.*210чел.*6мес.*1,65/12)</t>
  </si>
  <si>
    <t>.-вывоз мусора (арендаторы)</t>
  </si>
  <si>
    <t>9,88куб.м.*(178,32руб./куб.м.*6мес.+179,77руб./куб.м.*6мес.)</t>
  </si>
  <si>
    <t>Всего по п.1:</t>
  </si>
  <si>
    <t>2.Техническая эксплуатация</t>
  </si>
  <si>
    <t>.-профосмотры:в т.ч.сезонные осмотры</t>
  </si>
  <si>
    <t>(11,74ч/час*86,9979руб./час.+1,53руб./м.кв.*(4549,6+984,2)кв.м.)*12мес.</t>
  </si>
  <si>
    <t>-очистка кровли от снега</t>
  </si>
  <si>
    <t>13,82руб./кв.м.*1755кв.м.</t>
  </si>
  <si>
    <t>в зимний период</t>
  </si>
  <si>
    <t xml:space="preserve"> - набор работ (ремонт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трубопроводов, смена вентелей, задвижек)</t>
  </si>
  <si>
    <t>16,24руб.*(4549,6+984,2)кв.м.</t>
  </si>
  <si>
    <t>.-гидравлические испытания и промывка системы отопления</t>
  </si>
  <si>
    <t>(586,14руб./куб.м.+(223,96/3)руб./куб.м.)*26680/1000</t>
  </si>
  <si>
    <t>гидравлич.испытания - 1раз в год,   промывка - 1раз в 3 года</t>
  </si>
  <si>
    <t>-резерв на непредвиденные работы</t>
  </si>
  <si>
    <t>(484,82ч/час*86,9979руб./час)+484,82ч/час*86,9979руб./час/1,302)*25%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</si>
  <si>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</si>
  <si>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</si>
  <si>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</si>
  <si>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</si>
  <si>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</si>
  <si>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</si>
  <si>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</si>
  <si>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Всего по п.3:</t>
  </si>
  <si>
    <t>4.Аварийно-ремонтная служба</t>
  </si>
  <si>
    <t>2,679 руб./кв.м.*(4549,6+984,2)кв.м.</t>
  </si>
  <si>
    <t>5.ОДС</t>
  </si>
  <si>
    <t>1,29руб./кв.м*(4549,6+984,2)кв.м.</t>
  </si>
  <si>
    <t>6. Общеэксплуатационные расходы</t>
  </si>
  <si>
    <t>Прямые расходы*0,212*</t>
  </si>
  <si>
    <t>7. Услуги по начислению и сбору платежей и управлению домом</t>
  </si>
  <si>
    <t>(Прямые расходы+Общеэксплуатационные расходы)*0,16**</t>
  </si>
  <si>
    <t>Всего по п.4-7:</t>
  </si>
  <si>
    <t>Рентабельность, 3%</t>
  </si>
  <si>
    <t>Итого стоимость услуг с НДС:</t>
  </si>
  <si>
    <t>Экономически обоснованный тариф по затратам на "Содержание"</t>
  </si>
  <si>
    <t>Итого стоимость услуг/(4549,6+984,2)кв.м./12мес.</t>
  </si>
  <si>
    <t>В расходной части сметы не учтены затраты на текущий ремонт МКД</t>
  </si>
  <si>
    <t xml:space="preserve">* 0,212-коэффициент соотношения по Орджоникидзевскому району на 2015 год общеэксплуатационных расходов к прямым, исходя из фактических данных 2014 года. </t>
  </si>
  <si>
    <t xml:space="preserve">** 0,16-коэффициент соотношения по Орджоникидзевскому району на 2015 год услуг по управлению и начислению платежей, исходя из фактических данных 2014 года. </t>
  </si>
  <si>
    <t xml:space="preserve">Начальник ПЭО </t>
  </si>
  <si>
    <t>А. А. Бахтиярова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</si>
</sst>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_-* #,##0.00_р_._-;\-* #,##0.00_р_._-;_-* &quot;-&quot;??_р_._-;_-@_-"/>
    <numFmt numFmtId="166" formatCode="_-* #,##0.00_р_._-;\-* #,##0.00_р_._-;_-* \-??_р_._-;_-@_-"/>
    <numFmt numFmtId="167" formatCode="#,##0.00_р_.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4" fontId="9" fillId="3" borderId="4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9" fillId="3" borderId="3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4" fontId="9" fillId="3" borderId="6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vertical="center" wrapText="1"/>
    </xf>
    <xf numFmtId="4" fontId="9" fillId="3" borderId="6" xfId="2" applyNumberFormat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 wrapText="1"/>
    </xf>
    <xf numFmtId="4" fontId="9" fillId="3" borderId="8" xfId="2" applyNumberFormat="1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2" fontId="11" fillId="3" borderId="5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2" fontId="13" fillId="3" borderId="10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vertical="center" wrapText="1"/>
    </xf>
    <xf numFmtId="4" fontId="11" fillId="3" borderId="7" xfId="0" applyNumberFormat="1" applyFont="1" applyFill="1" applyBorder="1" applyAlignment="1">
      <alignment horizontal="center" vertical="center"/>
    </xf>
    <xf numFmtId="2" fontId="11" fillId="3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11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1" fillId="3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4" fontId="11" fillId="0" borderId="8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4" fontId="9" fillId="3" borderId="8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/>
    </xf>
    <xf numFmtId="2" fontId="16" fillId="3" borderId="5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17" fillId="0" borderId="0" xfId="0" applyFont="1"/>
    <xf numFmtId="2" fontId="11" fillId="4" borderId="1" xfId="0" applyNumberFormat="1" applyFont="1" applyFill="1" applyBorder="1" applyAlignment="1">
      <alignment horizontal="center" vertical="center" wrapText="1"/>
    </xf>
    <xf numFmtId="0" fontId="11" fillId="0" borderId="3" xfId="3" applyFont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2" fontId="16" fillId="3" borderId="1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 vertical="center"/>
    </xf>
    <xf numFmtId="2" fontId="11" fillId="3" borderId="2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left" vertical="center"/>
    </xf>
    <xf numFmtId="2" fontId="9" fillId="3" borderId="1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164" fontId="9" fillId="0" borderId="3" xfId="4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4" fillId="3" borderId="1" xfId="1" applyNumberFormat="1" applyFont="1" applyFill="1" applyBorder="1" applyAlignment="1" applyProtection="1">
      <alignment horizontal="center" vertical="center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 wrapText="1"/>
    </xf>
    <xf numFmtId="0" fontId="18" fillId="0" borderId="3" xfId="5" applyFont="1" applyBorder="1" applyAlignment="1">
      <alignment horizontal="left" vertical="center" wrapText="1"/>
    </xf>
    <xf numFmtId="167" fontId="18" fillId="0" borderId="3" xfId="5" applyNumberFormat="1" applyFont="1" applyBorder="1" applyAlignment="1">
      <alignment horizontal="center" vertical="center" wrapText="1"/>
    </xf>
    <xf numFmtId="0" fontId="19" fillId="0" borderId="3" xfId="5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3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3" borderId="0" xfId="0" applyFont="1" applyFill="1" applyAlignment="1">
      <alignment horizontal="left" vertical="center" wrapText="1"/>
    </xf>
    <xf numFmtId="0" fontId="21" fillId="0" borderId="0" xfId="6" applyFont="1" applyFill="1" applyAlignment="1">
      <alignment horizontal="left" vertical="center" wrapText="1"/>
    </xf>
    <xf numFmtId="0" fontId="21" fillId="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4" fillId="3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2" fillId="6" borderId="0" xfId="0" applyFont="1" applyFill="1" applyAlignment="1">
      <alignment vertical="center"/>
    </xf>
  </cellXfs>
  <cellStyles count="7">
    <cellStyle name="Comma" xfId="1" builtinId="3"/>
    <cellStyle name="Normal" xfId="0" builtinId="0"/>
    <cellStyle name="Обычный 10" xfId="4"/>
    <cellStyle name="Обычный 5" xfId="2"/>
    <cellStyle name="Обычный 6" xfId="5"/>
    <cellStyle name="Обычный 7" xfId="6"/>
    <cellStyle name="Обычный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C000"/>
  </sheetPr>
  <dimension ref="B1:H122"/>
  <sheetViews>
    <sheetView tabSelected="1" zoomScale="130" zoomScaleNormal="130" workbookViewId="0">
      <selection activeCell="C98" sqref="C98"/>
    </sheetView>
  </sheetViews>
  <sheetFormatPr defaultColWidth="9.140625" defaultRowHeight="15" x14ac:dyDescent="0.25"/>
  <cols>
    <col min="1" max="1" width="4" style="4" customWidth="1"/>
    <col min="2" max="2" width="41.140625" style="1" customWidth="1"/>
    <col min="3" max="3" width="14.5703125" style="124" customWidth="1"/>
    <col min="4" max="4" width="33.42578125" style="124" customWidth="1"/>
    <col min="5" max="5" width="17.5703125" style="3" customWidth="1"/>
    <col min="6" max="16384" width="9.140625" style="4"/>
  </cols>
  <sheetData>
    <row r="1" spans="2:5" x14ac:dyDescent="0.25">
      <c r="C1" s="2"/>
      <c r="D1" s="2"/>
    </row>
    <row r="2" spans="2:5" x14ac:dyDescent="0.25">
      <c r="C2" s="2"/>
      <c r="D2" s="2"/>
    </row>
    <row r="3" spans="2:5" ht="15.75" x14ac:dyDescent="0.25">
      <c r="B3" s="5"/>
      <c r="C3" s="1"/>
      <c r="D3" s="6" t="s">
        <v>0</v>
      </c>
    </row>
    <row r="4" spans="2:5" ht="15.75" x14ac:dyDescent="0.25">
      <c r="B4" s="5"/>
      <c r="C4" s="5"/>
      <c r="D4" s="6" t="s">
        <v>1</v>
      </c>
    </row>
    <row r="5" spans="2:5" ht="15.75" x14ac:dyDescent="0.25">
      <c r="B5" s="5"/>
      <c r="C5" s="5"/>
      <c r="D5" s="6" t="s">
        <v>2</v>
      </c>
    </row>
    <row r="6" spans="2:5" ht="15.75" x14ac:dyDescent="0.25">
      <c r="B6" s="5"/>
      <c r="C6" s="5"/>
      <c r="D6" s="6"/>
    </row>
    <row r="7" spans="2:5" ht="15.75" x14ac:dyDescent="0.25">
      <c r="B7" s="5"/>
      <c r="C7" s="5"/>
      <c r="D7" s="7" t="s">
        <v>3</v>
      </c>
    </row>
    <row r="8" spans="2:5" ht="15.75" x14ac:dyDescent="0.25">
      <c r="B8" s="5"/>
      <c r="C8" s="5"/>
      <c r="D8" s="6"/>
    </row>
    <row r="9" spans="2:5" ht="15.75" x14ac:dyDescent="0.25">
      <c r="B9" s="5"/>
      <c r="C9" s="5"/>
      <c r="D9" s="6"/>
    </row>
    <row r="10" spans="2:5" ht="32.25" customHeight="1" x14ac:dyDescent="0.25">
      <c r="B10" s="8" t="s">
        <v>4</v>
      </c>
      <c r="C10" s="8"/>
      <c r="D10" s="8"/>
    </row>
    <row r="11" spans="2:5" x14ac:dyDescent="0.25">
      <c r="B11" s="8" t="s">
        <v>5</v>
      </c>
      <c r="C11" s="8"/>
      <c r="D11" s="8"/>
    </row>
    <row r="12" spans="2:5" x14ac:dyDescent="0.25">
      <c r="B12" s="8"/>
      <c r="C12" s="8"/>
      <c r="D12" s="8"/>
    </row>
    <row r="13" spans="2:5" ht="15.75" x14ac:dyDescent="0.25">
      <c r="B13" s="9"/>
      <c r="C13" s="9"/>
      <c r="D13" s="9"/>
    </row>
    <row r="14" spans="2:5" ht="15.75" x14ac:dyDescent="0.25">
      <c r="B14" s="10" t="s">
        <v>6</v>
      </c>
      <c r="C14" s="11">
        <v>4549.6000000000004</v>
      </c>
      <c r="D14" s="12" t="s">
        <v>7</v>
      </c>
    </row>
    <row r="15" spans="2:5" s="17" customFormat="1" ht="15.75" x14ac:dyDescent="0.25">
      <c r="B15" s="13" t="s">
        <v>8</v>
      </c>
      <c r="C15" s="14">
        <v>984.2</v>
      </c>
      <c r="D15" s="15"/>
      <c r="E15" s="16"/>
    </row>
    <row r="16" spans="2:5" s="17" customFormat="1" ht="15.75" x14ac:dyDescent="0.25">
      <c r="B16" s="13"/>
      <c r="C16" s="14"/>
      <c r="D16" s="15"/>
      <c r="E16" s="16"/>
    </row>
    <row r="17" spans="2:5" ht="28.5" x14ac:dyDescent="0.25">
      <c r="B17" s="18" t="s">
        <v>9</v>
      </c>
      <c r="C17" s="19" t="s">
        <v>10</v>
      </c>
      <c r="D17" s="20" t="s">
        <v>11</v>
      </c>
      <c r="E17" s="21" t="s">
        <v>12</v>
      </c>
    </row>
    <row r="18" spans="2:5" x14ac:dyDescent="0.25">
      <c r="B18" s="22" t="s">
        <v>13</v>
      </c>
      <c r="C18" s="23">
        <f>C14*13.05*12</f>
        <v>712467.3600000001</v>
      </c>
      <c r="D18" s="24" t="s">
        <v>14</v>
      </c>
      <c r="E18" s="25" t="s">
        <v>15</v>
      </c>
    </row>
    <row r="19" spans="2:5" ht="51" x14ac:dyDescent="0.25">
      <c r="B19" s="26" t="s">
        <v>16</v>
      </c>
      <c r="C19" s="27">
        <f>((127.11*1.65/12*210*6)+(144.83*1.65/12*210*6))*1.18</f>
        <v>55594.053899999992</v>
      </c>
      <c r="D19" s="28" t="s">
        <v>17</v>
      </c>
      <c r="E19" s="29"/>
    </row>
    <row r="20" spans="2:5" x14ac:dyDescent="0.25">
      <c r="B20" s="30" t="s">
        <v>18</v>
      </c>
      <c r="C20" s="27">
        <f>C21+C24+C27+C30+C33+C36+C39+C42+C45</f>
        <v>167363.85873599999</v>
      </c>
      <c r="D20" s="31"/>
      <c r="E20" s="29"/>
    </row>
    <row r="21" spans="2:5" x14ac:dyDescent="0.25">
      <c r="B21" s="32" t="s">
        <v>19</v>
      </c>
      <c r="C21" s="33">
        <f>C22+C23</f>
        <v>10661.223936</v>
      </c>
      <c r="D21" s="34"/>
      <c r="E21" s="29"/>
    </row>
    <row r="22" spans="2:5" x14ac:dyDescent="0.25">
      <c r="B22" s="35" t="s">
        <v>20</v>
      </c>
      <c r="C22" s="36">
        <f>58.3*12.05*12</f>
        <v>8430.18</v>
      </c>
      <c r="D22" s="37" t="s">
        <v>21</v>
      </c>
      <c r="E22" s="29" t="s">
        <v>15</v>
      </c>
    </row>
    <row r="23" spans="2:5" ht="25.5" x14ac:dyDescent="0.25">
      <c r="B23" s="35" t="s">
        <v>22</v>
      </c>
      <c r="C23" s="38">
        <f>0.88*(178.32*6*1.18+179.77*1.18*6)</f>
        <v>2231.043936</v>
      </c>
      <c r="D23" s="39" t="s">
        <v>23</v>
      </c>
      <c r="E23" s="29" t="s">
        <v>15</v>
      </c>
    </row>
    <row r="24" spans="2:5" x14ac:dyDescent="0.25">
      <c r="B24" s="32" t="s">
        <v>24</v>
      </c>
      <c r="C24" s="33">
        <f>C25+C26</f>
        <v>3082.464144</v>
      </c>
      <c r="D24" s="34"/>
      <c r="E24" s="29"/>
    </row>
    <row r="25" spans="2:5" x14ac:dyDescent="0.25">
      <c r="B25" s="35" t="s">
        <v>20</v>
      </c>
      <c r="C25" s="36">
        <f>12.2*12.05*12</f>
        <v>1764.12</v>
      </c>
      <c r="D25" s="37" t="s">
        <v>25</v>
      </c>
      <c r="E25" s="29" t="s">
        <v>15</v>
      </c>
    </row>
    <row r="26" spans="2:5" ht="25.5" x14ac:dyDescent="0.25">
      <c r="B26" s="35" t="s">
        <v>22</v>
      </c>
      <c r="C26" s="38">
        <f>0.52*(178.32*6*1.18+179.77*1.18*6)</f>
        <v>1318.3441440000001</v>
      </c>
      <c r="D26" s="39" t="s">
        <v>26</v>
      </c>
      <c r="E26" s="29" t="s">
        <v>15</v>
      </c>
    </row>
    <row r="27" spans="2:5" x14ac:dyDescent="0.25">
      <c r="B27" s="32" t="s">
        <v>27</v>
      </c>
      <c r="C27" s="33">
        <f>C28+C29</f>
        <v>10064.16</v>
      </c>
      <c r="D27" s="34"/>
      <c r="E27" s="29"/>
    </row>
    <row r="28" spans="2:5" x14ac:dyDescent="0.25">
      <c r="B28" s="35" t="s">
        <v>20</v>
      </c>
      <c r="C28" s="36">
        <f>69.6*12.05*12</f>
        <v>10064.16</v>
      </c>
      <c r="D28" s="37" t="s">
        <v>28</v>
      </c>
      <c r="E28" s="29" t="s">
        <v>15</v>
      </c>
    </row>
    <row r="29" spans="2:5" ht="25.5" x14ac:dyDescent="0.25">
      <c r="B29" s="35" t="s">
        <v>22</v>
      </c>
      <c r="C29" s="38">
        <f>0*(178.32*6*1.18+179.77*1.18*6)</f>
        <v>0</v>
      </c>
      <c r="D29" s="39" t="s">
        <v>29</v>
      </c>
      <c r="E29" s="29"/>
    </row>
    <row r="30" spans="2:5" x14ac:dyDescent="0.25">
      <c r="B30" s="32" t="s">
        <v>30</v>
      </c>
      <c r="C30" s="33">
        <f>C31+C32</f>
        <v>45575.180568000003</v>
      </c>
      <c r="D30" s="34"/>
      <c r="E30" s="29"/>
    </row>
    <row r="31" spans="2:5" x14ac:dyDescent="0.25">
      <c r="B31" s="35" t="s">
        <v>20</v>
      </c>
      <c r="C31" s="36">
        <f>(177.9+120.8)*12.05*12</f>
        <v>43192.020000000004</v>
      </c>
      <c r="D31" s="37" t="s">
        <v>31</v>
      </c>
      <c r="E31" s="29" t="s">
        <v>15</v>
      </c>
    </row>
    <row r="32" spans="2:5" ht="25.5" x14ac:dyDescent="0.25">
      <c r="B32" s="35" t="s">
        <v>22</v>
      </c>
      <c r="C32" s="38">
        <f>0.94*(178.32*6*1.18+179.77*1.18*6)</f>
        <v>2383.1605679999998</v>
      </c>
      <c r="D32" s="39" t="s">
        <v>32</v>
      </c>
      <c r="E32" s="29" t="s">
        <v>15</v>
      </c>
    </row>
    <row r="33" spans="2:5" x14ac:dyDescent="0.25">
      <c r="B33" s="32" t="s">
        <v>33</v>
      </c>
      <c r="C33" s="33">
        <f>C34+C35</f>
        <v>10314.120492000002</v>
      </c>
      <c r="D33" s="34"/>
      <c r="E33" s="29"/>
    </row>
    <row r="34" spans="2:5" x14ac:dyDescent="0.25">
      <c r="B34" s="35" t="s">
        <v>20</v>
      </c>
      <c r="C34" s="36">
        <f>69.4*12.05*12</f>
        <v>10035.240000000002</v>
      </c>
      <c r="D34" s="37" t="s">
        <v>34</v>
      </c>
      <c r="E34" s="29" t="s">
        <v>15</v>
      </c>
    </row>
    <row r="35" spans="2:5" ht="25.5" x14ac:dyDescent="0.25">
      <c r="B35" s="35" t="s">
        <v>22</v>
      </c>
      <c r="C35" s="38">
        <f>0.11*(178.32*6*1.18+179.77*1.18*6)</f>
        <v>278.880492</v>
      </c>
      <c r="D35" s="39" t="s">
        <v>35</v>
      </c>
      <c r="E35" s="29" t="s">
        <v>15</v>
      </c>
    </row>
    <row r="36" spans="2:5" x14ac:dyDescent="0.25">
      <c r="B36" s="32" t="s">
        <v>36</v>
      </c>
      <c r="C36" s="33">
        <f>C37+C38</f>
        <v>12960.300492000002</v>
      </c>
      <c r="D36" s="34"/>
      <c r="E36" s="29"/>
    </row>
    <row r="37" spans="2:5" x14ac:dyDescent="0.25">
      <c r="B37" s="35" t="s">
        <v>20</v>
      </c>
      <c r="C37" s="36">
        <f>87.7*12.05*12</f>
        <v>12681.420000000002</v>
      </c>
      <c r="D37" s="37" t="s">
        <v>37</v>
      </c>
      <c r="E37" s="29" t="s">
        <v>15</v>
      </c>
    </row>
    <row r="38" spans="2:5" ht="25.5" x14ac:dyDescent="0.25">
      <c r="B38" s="35" t="s">
        <v>22</v>
      </c>
      <c r="C38" s="38">
        <f>0.11*(178.32*6*1.18+179.77*1.18*6)</f>
        <v>278.880492</v>
      </c>
      <c r="D38" s="40" t="s">
        <v>35</v>
      </c>
      <c r="E38" s="29" t="s">
        <v>15</v>
      </c>
    </row>
    <row r="39" spans="2:5" x14ac:dyDescent="0.25">
      <c r="B39" s="32" t="s">
        <v>38</v>
      </c>
      <c r="C39" s="33">
        <f>C40+C41</f>
        <v>10360.5579</v>
      </c>
      <c r="D39" s="41"/>
      <c r="E39" s="29"/>
    </row>
    <row r="40" spans="2:5" x14ac:dyDescent="0.25">
      <c r="B40" s="35" t="s">
        <v>20</v>
      </c>
      <c r="C40" s="36">
        <f>58.5*12.05*12</f>
        <v>8459.1</v>
      </c>
      <c r="D40" s="42" t="s">
        <v>39</v>
      </c>
      <c r="E40" s="29" t="s">
        <v>15</v>
      </c>
    </row>
    <row r="41" spans="2:5" ht="25.5" x14ac:dyDescent="0.25">
      <c r="B41" s="35" t="s">
        <v>22</v>
      </c>
      <c r="C41" s="38">
        <f>0.75*(178.32*6*1.18+179.77*1.18*6)</f>
        <v>1901.4578999999999</v>
      </c>
      <c r="D41" s="40" t="s">
        <v>40</v>
      </c>
      <c r="E41" s="29" t="s">
        <v>15</v>
      </c>
    </row>
    <row r="42" spans="2:5" x14ac:dyDescent="0.25">
      <c r="B42" s="32" t="s">
        <v>41</v>
      </c>
      <c r="C42" s="33">
        <f>C43+C44</f>
        <v>40201.537164000001</v>
      </c>
      <c r="D42" s="41"/>
      <c r="E42" s="29"/>
    </row>
    <row r="43" spans="2:5" x14ac:dyDescent="0.25">
      <c r="B43" s="35" t="s">
        <v>20</v>
      </c>
      <c r="C43" s="36">
        <f>175.1*12.05*12</f>
        <v>25319.46</v>
      </c>
      <c r="D43" s="42" t="s">
        <v>42</v>
      </c>
      <c r="E43" s="29" t="s">
        <v>15</v>
      </c>
    </row>
    <row r="44" spans="2:5" ht="25.5" x14ac:dyDescent="0.25">
      <c r="B44" s="35" t="s">
        <v>22</v>
      </c>
      <c r="C44" s="38">
        <f>5.87*(178.32*6*1.18+179.77*1.18*6)</f>
        <v>14882.077164</v>
      </c>
      <c r="D44" s="40" t="s">
        <v>43</v>
      </c>
      <c r="E44" s="29" t="s">
        <v>15</v>
      </c>
    </row>
    <row r="45" spans="2:5" x14ac:dyDescent="0.25">
      <c r="B45" s="32" t="s">
        <v>44</v>
      </c>
      <c r="C45" s="33">
        <f>C46+C47</f>
        <v>24144.314039999997</v>
      </c>
      <c r="D45" s="41"/>
      <c r="E45" s="29"/>
    </row>
    <row r="46" spans="2:5" x14ac:dyDescent="0.25">
      <c r="B46" s="35" t="s">
        <v>20</v>
      </c>
      <c r="C46" s="36">
        <f>154.7*12.05*12</f>
        <v>22369.62</v>
      </c>
      <c r="D46" s="42" t="s">
        <v>45</v>
      </c>
      <c r="E46" s="29" t="s">
        <v>15</v>
      </c>
    </row>
    <row r="47" spans="2:5" ht="25.5" x14ac:dyDescent="0.25">
      <c r="B47" s="35" t="s">
        <v>22</v>
      </c>
      <c r="C47" s="38">
        <f>0.7*(178.32*6*1.18+179.77*1.18*6)</f>
        <v>1774.6940399999999</v>
      </c>
      <c r="D47" s="40" t="s">
        <v>46</v>
      </c>
      <c r="E47" s="29" t="s">
        <v>15</v>
      </c>
    </row>
    <row r="48" spans="2:5" ht="15.75" x14ac:dyDescent="0.25">
      <c r="B48" s="43" t="s">
        <v>47</v>
      </c>
      <c r="C48" s="44">
        <f>C18+C20</f>
        <v>879831.21873600013</v>
      </c>
      <c r="D48" s="45"/>
      <c r="E48" s="29"/>
    </row>
    <row r="49" spans="2:8" ht="25.5" x14ac:dyDescent="0.25">
      <c r="B49" s="46" t="s">
        <v>48</v>
      </c>
      <c r="C49" s="44">
        <f>C50+C51+C52+C53+C54+C55</f>
        <v>6420</v>
      </c>
      <c r="D49" s="45"/>
      <c r="E49" s="29"/>
    </row>
    <row r="50" spans="2:8" x14ac:dyDescent="0.25">
      <c r="B50" s="32" t="s">
        <v>49</v>
      </c>
      <c r="C50" s="44">
        <f>34.98*12*0</f>
        <v>0</v>
      </c>
      <c r="D50" s="45" t="s">
        <v>50</v>
      </c>
      <c r="E50" s="29"/>
    </row>
    <row r="51" spans="2:8" x14ac:dyDescent="0.25">
      <c r="B51" s="32" t="s">
        <v>51</v>
      </c>
      <c r="C51" s="44">
        <f>137.5*12*0</f>
        <v>0</v>
      </c>
      <c r="D51" s="45" t="s">
        <v>52</v>
      </c>
      <c r="E51" s="29"/>
    </row>
    <row r="52" spans="2:8" x14ac:dyDescent="0.25">
      <c r="B52" s="32" t="s">
        <v>53</v>
      </c>
      <c r="C52" s="44">
        <f>123.75*12</f>
        <v>1485</v>
      </c>
      <c r="D52" s="45" t="s">
        <v>54</v>
      </c>
      <c r="E52" s="29" t="s">
        <v>15</v>
      </c>
    </row>
    <row r="53" spans="2:8" x14ac:dyDescent="0.25">
      <c r="B53" s="32" t="s">
        <v>55</v>
      </c>
      <c r="C53" s="44">
        <f>123.75*12</f>
        <v>1485</v>
      </c>
      <c r="D53" s="45" t="s">
        <v>54</v>
      </c>
      <c r="E53" s="29" t="s">
        <v>15</v>
      </c>
    </row>
    <row r="54" spans="2:8" x14ac:dyDescent="0.25">
      <c r="B54" s="32" t="s">
        <v>56</v>
      </c>
      <c r="C54" s="44">
        <f>150*12</f>
        <v>1800</v>
      </c>
      <c r="D54" s="45" t="s">
        <v>57</v>
      </c>
      <c r="E54" s="29" t="s">
        <v>15</v>
      </c>
    </row>
    <row r="55" spans="2:8" x14ac:dyDescent="0.25">
      <c r="B55" s="32" t="s">
        <v>58</v>
      </c>
      <c r="C55" s="44">
        <f>137.5*12</f>
        <v>1650</v>
      </c>
      <c r="D55" s="45" t="s">
        <v>52</v>
      </c>
      <c r="E55" s="29" t="s">
        <v>15</v>
      </c>
    </row>
    <row r="56" spans="2:8" x14ac:dyDescent="0.25">
      <c r="B56" s="46" t="s">
        <v>59</v>
      </c>
      <c r="C56" s="44">
        <v>0</v>
      </c>
      <c r="D56" s="45"/>
      <c r="E56" s="29"/>
      <c r="G56" s="4" t="s">
        <v>60</v>
      </c>
    </row>
    <row r="57" spans="2:8" ht="18.75" x14ac:dyDescent="0.25">
      <c r="B57" s="47" t="s">
        <v>61</v>
      </c>
      <c r="C57" s="48">
        <f>C48+C49+C56</f>
        <v>886251.21873600013</v>
      </c>
      <c r="D57" s="45"/>
      <c r="E57" s="29"/>
    </row>
    <row r="58" spans="2:8" ht="31.5" x14ac:dyDescent="0.25">
      <c r="B58" s="49" t="s">
        <v>62</v>
      </c>
      <c r="C58" s="50" t="s">
        <v>10</v>
      </c>
      <c r="D58" s="51" t="s">
        <v>63</v>
      </c>
      <c r="E58" s="29"/>
    </row>
    <row r="59" spans="2:8" ht="15.75" x14ac:dyDescent="0.25">
      <c r="B59" s="52" t="s">
        <v>64</v>
      </c>
      <c r="C59" s="27"/>
      <c r="D59" s="53"/>
      <c r="E59" s="29"/>
      <c r="H59" s="54"/>
    </row>
    <row r="60" spans="2:8" ht="38.25" x14ac:dyDescent="0.25">
      <c r="B60" s="55" t="s">
        <v>65</v>
      </c>
      <c r="C60" s="56">
        <f>(0.66*((3221+200)*1.15*1.5*1.083*1.302)+0.084*1570.6)*12</f>
        <v>67486.409308332004</v>
      </c>
      <c r="D60" s="57" t="s">
        <v>66</v>
      </c>
      <c r="E60" s="29" t="s">
        <v>67</v>
      </c>
      <c r="H60" s="58"/>
    </row>
    <row r="61" spans="2:8" ht="15.75" x14ac:dyDescent="0.25">
      <c r="B61" s="55" t="s">
        <v>68</v>
      </c>
      <c r="C61" s="56">
        <f>0*8618.11*12</f>
        <v>0</v>
      </c>
      <c r="D61" s="57" t="s">
        <v>69</v>
      </c>
      <c r="E61" s="29"/>
      <c r="H61" s="58"/>
    </row>
    <row r="62" spans="2:8" ht="25.5" x14ac:dyDescent="0.25">
      <c r="B62" s="55" t="s">
        <v>70</v>
      </c>
      <c r="C62" s="56">
        <f>((0*8618.11)+0*10.20529)*12</f>
        <v>0</v>
      </c>
      <c r="D62" s="57" t="s">
        <v>71</v>
      </c>
      <c r="E62" s="29"/>
      <c r="H62" s="58"/>
    </row>
    <row r="63" spans="2:8" s="60" customFormat="1" ht="38.25" x14ac:dyDescent="0.25">
      <c r="B63" s="55" t="s">
        <v>72</v>
      </c>
      <c r="C63" s="59">
        <f>256.74*0.02*210*6+270.7*0.02*210*6</f>
        <v>13291.487999999999</v>
      </c>
      <c r="D63" s="45" t="s">
        <v>73</v>
      </c>
      <c r="E63" s="25" t="s">
        <v>74</v>
      </c>
      <c r="H63" s="58"/>
    </row>
    <row r="64" spans="2:8" ht="15.75" x14ac:dyDescent="0.25">
      <c r="B64" s="55" t="s">
        <v>75</v>
      </c>
      <c r="C64" s="59">
        <f>16.86*75*2</f>
        <v>2529</v>
      </c>
      <c r="D64" s="61" t="s">
        <v>76</v>
      </c>
      <c r="E64" s="29" t="s">
        <v>77</v>
      </c>
      <c r="H64" s="58"/>
    </row>
    <row r="65" spans="2:8" ht="36.75" customHeight="1" x14ac:dyDescent="0.25">
      <c r="B65" s="55" t="s">
        <v>78</v>
      </c>
      <c r="C65" s="59">
        <f>4*49.72*0</f>
        <v>0</v>
      </c>
      <c r="D65" s="61" t="s">
        <v>79</v>
      </c>
      <c r="E65" s="29"/>
      <c r="H65" s="58"/>
    </row>
    <row r="66" spans="2:8" ht="38.25" x14ac:dyDescent="0.25">
      <c r="B66" s="55" t="s">
        <v>80</v>
      </c>
      <c r="C66" s="59">
        <f>((6*0.24*536.5)+(6*0.25*536.5))</f>
        <v>1577.31</v>
      </c>
      <c r="D66" s="62" t="s">
        <v>81</v>
      </c>
      <c r="E66" s="29" t="s">
        <v>15</v>
      </c>
      <c r="H66" s="58"/>
    </row>
    <row r="67" spans="2:8" ht="38.25" x14ac:dyDescent="0.25">
      <c r="B67" s="63" t="s">
        <v>82</v>
      </c>
      <c r="C67" s="59">
        <f>(2*2.22*536.5)+(2*2.34*536.5)</f>
        <v>4892.88</v>
      </c>
      <c r="D67" s="62" t="s">
        <v>83</v>
      </c>
      <c r="E67" s="29" t="s">
        <v>84</v>
      </c>
      <c r="H67" s="58"/>
    </row>
    <row r="68" spans="2:8" ht="25.5" x14ac:dyDescent="0.25">
      <c r="B68" s="26" t="s">
        <v>85</v>
      </c>
      <c r="C68" s="64">
        <f>(820.25*6+865.34*6)/1.18</f>
        <v>8570.7966101694929</v>
      </c>
      <c r="D68" s="65" t="s">
        <v>86</v>
      </c>
      <c r="E68" s="29" t="s">
        <v>15</v>
      </c>
      <c r="H68" s="58"/>
    </row>
    <row r="69" spans="2:8" ht="15.75" x14ac:dyDescent="0.25">
      <c r="B69" s="26" t="s">
        <v>87</v>
      </c>
      <c r="C69" s="64">
        <f>1069.67*12/1.18</f>
        <v>10878.000000000002</v>
      </c>
      <c r="D69" s="62" t="s">
        <v>88</v>
      </c>
      <c r="E69" s="29" t="s">
        <v>15</v>
      </c>
      <c r="H69" s="58"/>
    </row>
    <row r="70" spans="2:8" ht="15.75" x14ac:dyDescent="0.25">
      <c r="B70" s="26" t="s">
        <v>89</v>
      </c>
      <c r="C70" s="64">
        <f>0*2*12</f>
        <v>0</v>
      </c>
      <c r="D70" s="66" t="s">
        <v>90</v>
      </c>
      <c r="E70" s="29"/>
      <c r="H70" s="58"/>
    </row>
    <row r="71" spans="2:8" ht="53.25" customHeight="1" x14ac:dyDescent="0.25">
      <c r="B71" s="26" t="s">
        <v>91</v>
      </c>
      <c r="C71" s="27">
        <f>(127.11*1.65/12*210*6)+(144.83*1.65/12*210*6)</f>
        <v>47113.604999999996</v>
      </c>
      <c r="D71" s="28" t="s">
        <v>92</v>
      </c>
      <c r="E71" s="29" t="s">
        <v>74</v>
      </c>
      <c r="H71" s="58"/>
    </row>
    <row r="72" spans="2:8" ht="25.5" x14ac:dyDescent="0.25">
      <c r="B72" s="26" t="s">
        <v>93</v>
      </c>
      <c r="C72" s="67">
        <f>9.88*(178.32*6+179.77*6)</f>
        <v>21227.575200000003</v>
      </c>
      <c r="D72" s="31" t="s">
        <v>94</v>
      </c>
      <c r="E72" s="29" t="s">
        <v>74</v>
      </c>
      <c r="H72" s="58"/>
    </row>
    <row r="73" spans="2:8" ht="15.75" x14ac:dyDescent="0.25">
      <c r="B73" s="68" t="s">
        <v>95</v>
      </c>
      <c r="C73" s="69">
        <f>C60+C61+C62+C63+C64+C65+C66+C67+C68+C69+C70+C71+C72</f>
        <v>177567.06411850147</v>
      </c>
      <c r="D73" s="70"/>
      <c r="E73" s="29"/>
    </row>
    <row r="74" spans="2:8" x14ac:dyDescent="0.25">
      <c r="B74" s="55" t="s">
        <v>96</v>
      </c>
      <c r="C74" s="44"/>
      <c r="D74" s="71"/>
      <c r="E74" s="29"/>
    </row>
    <row r="75" spans="2:8" s="73" customFormat="1" ht="25.5" x14ac:dyDescent="0.2">
      <c r="B75" s="72" t="s">
        <v>97</v>
      </c>
      <c r="C75" s="44">
        <f>(11.74*86.9979+1.53*(C14+C15))*12</f>
        <v>113856.832152</v>
      </c>
      <c r="D75" s="71" t="s">
        <v>98</v>
      </c>
      <c r="E75" s="29"/>
    </row>
    <row r="76" spans="2:8" x14ac:dyDescent="0.25">
      <c r="B76" s="63" t="s">
        <v>99</v>
      </c>
      <c r="C76" s="44">
        <f>13.82*1755</f>
        <v>24254.100000000002</v>
      </c>
      <c r="D76" s="74" t="s">
        <v>100</v>
      </c>
      <c r="E76" s="29" t="s">
        <v>101</v>
      </c>
    </row>
    <row r="77" spans="2:8" ht="102" x14ac:dyDescent="0.25">
      <c r="B77" s="75" t="s">
        <v>102</v>
      </c>
      <c r="C77" s="64">
        <f>16.24*(C14+C15)</f>
        <v>89868.911999999997</v>
      </c>
      <c r="D77" s="45" t="s">
        <v>103</v>
      </c>
      <c r="E77" s="76"/>
    </row>
    <row r="78" spans="2:8" ht="51" x14ac:dyDescent="0.25">
      <c r="B78" s="55" t="s">
        <v>104</v>
      </c>
      <c r="C78" s="77">
        <f>(586.14+223.96/3)*26680/1000</f>
        <v>17629.966133333332</v>
      </c>
      <c r="D78" s="71" t="s">
        <v>105</v>
      </c>
      <c r="E78" s="78" t="s">
        <v>106</v>
      </c>
    </row>
    <row r="79" spans="2:8" ht="25.5" x14ac:dyDescent="0.25">
      <c r="B79" s="79" t="s">
        <v>107</v>
      </c>
      <c r="C79" s="44">
        <f>(484.82*86.9979)+(484.82*86.9979/1.302)*0.25</f>
        <v>50277.077998967747</v>
      </c>
      <c r="D79" s="71" t="s">
        <v>108</v>
      </c>
      <c r="E79" s="29"/>
    </row>
    <row r="80" spans="2:8" ht="15.75" x14ac:dyDescent="0.25">
      <c r="B80" s="80" t="s">
        <v>109</v>
      </c>
      <c r="C80" s="69">
        <f>C75+C76+C77+C78+C79</f>
        <v>295886.88828430104</v>
      </c>
      <c r="D80" s="81"/>
      <c r="E80" s="29"/>
    </row>
    <row r="81" spans="2:8" x14ac:dyDescent="0.25">
      <c r="B81" s="79" t="s">
        <v>110</v>
      </c>
      <c r="C81" s="44"/>
      <c r="D81" s="71"/>
      <c r="E81" s="29"/>
    </row>
    <row r="82" spans="2:8" s="60" customFormat="1" ht="12.75" x14ac:dyDescent="0.2">
      <c r="B82" s="82" t="s">
        <v>111</v>
      </c>
      <c r="C82" s="83"/>
      <c r="D82" s="84"/>
      <c r="E82" s="25"/>
    </row>
    <row r="83" spans="2:8" x14ac:dyDescent="0.25">
      <c r="B83" s="79" t="s">
        <v>112</v>
      </c>
      <c r="C83" s="27"/>
      <c r="D83" s="85"/>
      <c r="E83" s="29"/>
    </row>
    <row r="84" spans="2:8" x14ac:dyDescent="0.25">
      <c r="B84" s="79" t="s">
        <v>113</v>
      </c>
      <c r="C84" s="27"/>
      <c r="D84" s="85"/>
      <c r="E84" s="29"/>
    </row>
    <row r="85" spans="2:8" x14ac:dyDescent="0.25">
      <c r="B85" s="79" t="s">
        <v>114</v>
      </c>
      <c r="C85" s="27"/>
      <c r="D85" s="85"/>
      <c r="E85" s="29"/>
    </row>
    <row r="86" spans="2:8" x14ac:dyDescent="0.25">
      <c r="B86" s="79" t="s">
        <v>115</v>
      </c>
      <c r="C86" s="27"/>
      <c r="D86" s="85"/>
      <c r="E86" s="29"/>
    </row>
    <row r="87" spans="2:8" ht="15.75" x14ac:dyDescent="0.25">
      <c r="B87" s="80" t="s">
        <v>116</v>
      </c>
      <c r="C87" s="86">
        <f>C82+C83</f>
        <v>0</v>
      </c>
      <c r="D87" s="87"/>
      <c r="E87" s="29"/>
    </row>
    <row r="88" spans="2:8" x14ac:dyDescent="0.25">
      <c r="B88" s="88" t="s">
        <v>117</v>
      </c>
      <c r="C88" s="27">
        <f>2.679*(C14+C15)</f>
        <v>14825.0502</v>
      </c>
      <c r="D88" s="85" t="s">
        <v>118</v>
      </c>
      <c r="E88" s="29"/>
    </row>
    <row r="89" spans="2:8" ht="15.75" x14ac:dyDescent="0.25">
      <c r="B89" s="89" t="s">
        <v>119</v>
      </c>
      <c r="C89" s="90">
        <f>1.29*(C14+C15)</f>
        <v>7138.6020000000008</v>
      </c>
      <c r="D89" s="90" t="s">
        <v>120</v>
      </c>
      <c r="E89" s="29"/>
      <c r="H89" s="91"/>
    </row>
    <row r="90" spans="2:8" x14ac:dyDescent="0.25">
      <c r="B90" s="32" t="s">
        <v>121</v>
      </c>
      <c r="C90" s="27">
        <f>(C73+C80)*0.212</f>
        <v>100372.23790939413</v>
      </c>
      <c r="D90" s="92" t="s">
        <v>122</v>
      </c>
      <c r="E90" s="29"/>
    </row>
    <row r="91" spans="2:8" ht="38.25" x14ac:dyDescent="0.25">
      <c r="B91" s="93" t="s">
        <v>123</v>
      </c>
      <c r="C91" s="90">
        <f>(C73+C80+C90)*1.03/(1-0.134*1.03)*0.134</f>
        <v>91880.891420786327</v>
      </c>
      <c r="D91" s="94" t="s">
        <v>124</v>
      </c>
      <c r="E91" s="29" t="s">
        <v>15</v>
      </c>
    </row>
    <row r="92" spans="2:8" ht="15.75" x14ac:dyDescent="0.25">
      <c r="B92" s="95" t="s">
        <v>125</v>
      </c>
      <c r="C92" s="86">
        <f>C88+C89+C90+C91</f>
        <v>214216.78153018045</v>
      </c>
      <c r="D92" s="87"/>
      <c r="E92" s="29"/>
    </row>
    <row r="93" spans="2:8" x14ac:dyDescent="0.25">
      <c r="B93" s="32" t="s">
        <v>126</v>
      </c>
      <c r="C93" s="27">
        <f>(C73+C80+C87+C92)*3%</f>
        <v>20630.122017989488</v>
      </c>
      <c r="D93" s="85"/>
      <c r="E93" s="29"/>
    </row>
    <row r="94" spans="2:8" ht="15.75" x14ac:dyDescent="0.25">
      <c r="B94" s="96" t="s">
        <v>61</v>
      </c>
      <c r="C94" s="97">
        <f>C73+C80+C87+C92+C93</f>
        <v>708300.85595097253</v>
      </c>
      <c r="D94" s="98"/>
      <c r="E94" s="29"/>
    </row>
    <row r="95" spans="2:8" ht="15.75" x14ac:dyDescent="0.25">
      <c r="B95" s="96" t="s">
        <v>127</v>
      </c>
      <c r="C95" s="97">
        <f>C94*1.18</f>
        <v>835795.01002214756</v>
      </c>
      <c r="D95" s="98"/>
      <c r="E95" s="29"/>
    </row>
    <row r="96" spans="2:8" ht="15.75" x14ac:dyDescent="0.25">
      <c r="B96" s="99"/>
      <c r="C96" s="100">
        <f>C57-C95</f>
        <v>50456.208713852568</v>
      </c>
      <c r="D96" s="101"/>
      <c r="E96" s="29"/>
    </row>
    <row r="97" spans="2:5" ht="30" x14ac:dyDescent="0.25">
      <c r="B97" s="102" t="s">
        <v>128</v>
      </c>
      <c r="C97" s="103">
        <f>C95/(C14+C15)/12</f>
        <v>12.586212759498409</v>
      </c>
      <c r="D97" s="104" t="s">
        <v>129</v>
      </c>
      <c r="E97" s="105"/>
    </row>
    <row r="98" spans="2:5" x14ac:dyDescent="0.25">
      <c r="B98" s="106"/>
      <c r="C98" s="2"/>
      <c r="D98" s="2"/>
      <c r="E98" s="107"/>
    </row>
    <row r="99" spans="2:5" x14ac:dyDescent="0.25">
      <c r="B99" s="108" t="s">
        <v>130</v>
      </c>
      <c r="C99" s="109"/>
      <c r="D99" s="110"/>
      <c r="E99" s="107"/>
    </row>
    <row r="100" spans="2:5" ht="23.25" customHeight="1" x14ac:dyDescent="0.25">
      <c r="B100" s="111" t="s">
        <v>131</v>
      </c>
      <c r="C100" s="111"/>
      <c r="D100" s="111"/>
      <c r="E100" s="107"/>
    </row>
    <row r="101" spans="2:5" ht="23.25" customHeight="1" x14ac:dyDescent="0.25">
      <c r="B101" s="112" t="s">
        <v>132</v>
      </c>
      <c r="C101" s="112"/>
      <c r="D101" s="112"/>
      <c r="E101" s="107"/>
    </row>
    <row r="102" spans="2:5" x14ac:dyDescent="0.25">
      <c r="B102" s="113"/>
      <c r="C102" s="114"/>
      <c r="D102" s="114"/>
      <c r="E102" s="107"/>
    </row>
    <row r="103" spans="2:5" x14ac:dyDescent="0.25">
      <c r="B103" s="115"/>
      <c r="C103" s="116"/>
      <c r="D103" s="116"/>
      <c r="E103" s="107"/>
    </row>
    <row r="104" spans="2:5" ht="15.75" x14ac:dyDescent="0.25">
      <c r="B104" s="117" t="s">
        <v>133</v>
      </c>
      <c r="C104" s="7"/>
      <c r="D104" s="118" t="s">
        <v>134</v>
      </c>
      <c r="E104" s="107"/>
    </row>
    <row r="105" spans="2:5" x14ac:dyDescent="0.25">
      <c r="B105" s="5"/>
      <c r="C105" s="5"/>
      <c r="D105" s="5"/>
    </row>
    <row r="106" spans="2:5" ht="18.75" x14ac:dyDescent="0.25">
      <c r="B106" s="119"/>
      <c r="C106" s="120"/>
      <c r="D106" s="120"/>
    </row>
    <row r="107" spans="2:5" x14ac:dyDescent="0.25">
      <c r="B107" s="5"/>
      <c r="C107" s="5"/>
      <c r="D107" s="5"/>
    </row>
    <row r="108" spans="2:5" x14ac:dyDescent="0.25">
      <c r="B108" s="5"/>
      <c r="C108" s="5"/>
      <c r="D108" s="5"/>
    </row>
    <row r="109" spans="2:5" x14ac:dyDescent="0.25">
      <c r="B109" s="5"/>
      <c r="C109" s="5"/>
      <c r="D109" s="5"/>
    </row>
    <row r="110" spans="2:5" x14ac:dyDescent="0.25">
      <c r="B110" s="5"/>
      <c r="C110" s="5"/>
      <c r="D110" s="5"/>
    </row>
    <row r="111" spans="2:5" x14ac:dyDescent="0.25">
      <c r="B111" s="5"/>
      <c r="C111" s="5"/>
      <c r="D111" s="5"/>
    </row>
    <row r="113" spans="2:5" x14ac:dyDescent="0.25">
      <c r="B113" s="5"/>
      <c r="C113" s="5"/>
      <c r="D113" s="5"/>
    </row>
    <row r="114" spans="2:5" x14ac:dyDescent="0.25">
      <c r="B114" s="5"/>
      <c r="C114" s="5"/>
      <c r="D114" s="5"/>
    </row>
    <row r="115" spans="2:5" s="123" customFormat="1" x14ac:dyDescent="0.25">
      <c r="B115" s="121"/>
      <c r="C115" s="121"/>
      <c r="D115" s="121"/>
      <c r="E115" s="122"/>
    </row>
    <row r="116" spans="2:5" s="123" customFormat="1" x14ac:dyDescent="0.25">
      <c r="B116" s="121"/>
      <c r="C116" s="121"/>
      <c r="D116" s="121"/>
      <c r="E116" s="122"/>
    </row>
    <row r="117" spans="2:5" s="123" customFormat="1" x14ac:dyDescent="0.25">
      <c r="B117" s="121"/>
      <c r="C117" s="121"/>
      <c r="D117" s="121"/>
      <c r="E117" s="122"/>
    </row>
    <row r="118" spans="2:5" s="123" customFormat="1" x14ac:dyDescent="0.25">
      <c r="B118" s="121"/>
      <c r="C118" s="121"/>
      <c r="D118" s="121"/>
      <c r="E118" s="122"/>
    </row>
    <row r="119" spans="2:5" s="123" customFormat="1" x14ac:dyDescent="0.25">
      <c r="B119" s="121"/>
      <c r="C119" s="121"/>
      <c r="D119" s="121"/>
      <c r="E119" s="122"/>
    </row>
    <row r="120" spans="2:5" s="123" customFormat="1" x14ac:dyDescent="0.25">
      <c r="B120" s="121"/>
      <c r="C120" s="121"/>
      <c r="D120" s="121"/>
      <c r="E120" s="122"/>
    </row>
    <row r="121" spans="2:5" s="123" customFormat="1" x14ac:dyDescent="0.25">
      <c r="B121" s="121"/>
      <c r="C121" s="121"/>
      <c r="D121" s="121"/>
      <c r="E121" s="122"/>
    </row>
    <row r="122" spans="2:5" s="123" customFormat="1" x14ac:dyDescent="0.25">
      <c r="B122" s="121"/>
      <c r="C122" s="121"/>
      <c r="D122" s="121"/>
      <c r="E122" s="122"/>
    </row>
  </sheetData>
  <mergeCells count="4">
    <mergeCell ref="B10:D10"/>
    <mergeCell ref="B11:D12"/>
    <mergeCell ref="B100:D100"/>
    <mergeCell ref="B101:D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А.Невск.20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Systhesizz</dc:creator>
  <cp:lastModifiedBy>Systhesizz</cp:lastModifiedBy>
  <dcterms:created xsi:type="dcterms:W3CDTF">2015-05-19T07:56:11Z</dcterms:created>
  <dcterms:modified xsi:type="dcterms:W3CDTF">2015-05-19T07:56:13Z</dcterms:modified>
</cp:coreProperties>
</file>