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Калинина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57" i="1"/>
  <c r="C56" i="1"/>
  <c r="C54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1" i="1" s="1"/>
  <c r="C33" i="1"/>
  <c r="C32" i="1"/>
  <c r="C31" i="1"/>
  <c r="C30" i="1"/>
  <c r="C29" i="1"/>
  <c r="C28" i="1" s="1"/>
  <c r="C26" i="1"/>
  <c r="C25" i="1"/>
  <c r="C24" i="1" s="1"/>
  <c r="C23" i="1"/>
  <c r="C22" i="1"/>
  <c r="C21" i="1"/>
  <c r="C20" i="1" s="1"/>
  <c r="C27" i="1" s="1"/>
  <c r="C35" i="1" s="1"/>
  <c r="C19" i="1"/>
  <c r="C18" i="1"/>
  <c r="C15" i="1"/>
  <c r="C66" i="1" s="1"/>
  <c r="C53" i="1" l="1"/>
  <c r="C55" i="1"/>
  <c r="C67" i="1"/>
  <c r="C58" i="1" l="1"/>
  <c r="C68" i="1" l="1"/>
  <c r="C70" i="1" l="1"/>
  <c r="C69" i="1"/>
  <c r="C71" i="1" l="1"/>
  <c r="C72" i="1" s="1"/>
  <c r="C73" i="1" s="1"/>
  <c r="C75" i="1" l="1"/>
  <c r="C74" i="1"/>
</calcChain>
</file>

<file path=xl/sharedStrings.xml><?xml version="1.0" encoding="utf-8"?>
<sst xmlns="http://schemas.openxmlformats.org/spreadsheetml/2006/main" count="128" uniqueCount="113">
  <si>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</si>
  <si>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</si>
  <si>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</si>
  <si>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</si>
  <si>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</si>
  <si>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 7,  ул. Калинина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</si>
  <si>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</si>
  <si>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</si>
  <si>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</si>
  <si>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</si>
  <si>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</si>
  <si>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</si>
  <si>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</si>
  <si>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</si>
  <si>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1691кв.м.*13,05руб.*12 мес.</t>
  </si>
  <si>
    <t>1раз в месяц</t>
  </si>
  <si>
    <t>в т. ч. вывоз мусора (население)</t>
  </si>
  <si>
    <t>((127,11руб./куб.м.*50чел.*6мес.*1,65/12)+(144,83 руб./куб.м.*50чел.*6мес.*1,65/12))*1,18</t>
  </si>
  <si>
    <t>2. Начисление по нежилым помещениям</t>
  </si>
  <si>
    <t>1) МУФП "Аптека №98" г.Уфы  (236,7кв.м.)</t>
  </si>
  <si>
    <t>Тех.обслуживание</t>
  </si>
  <si>
    <t>0*236,7кв.м.*12,05руб.*12мес.</t>
  </si>
  <si>
    <t>Вывоз мусора</t>
  </si>
  <si>
    <t>0куб.м.*(178,32руб./куб.м.*1,18*6мес.+179,77руб./куб.м.*1,18*6мес.)</t>
  </si>
  <si>
    <t>2) Некоммерческая организация Башкирская Республиканская коллегия адвокатов (153,3кв.м.)</t>
  </si>
  <si>
    <t>153,3кв.м.*12,05руб.*12мес.</t>
  </si>
  <si>
    <t>2,05куб.м.*(178,32руб./куб.м.*1,18*6мес.+179,77руб./куб.м.*1,18*6мес.)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</si>
  <si>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</si>
  <si>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</si>
  <si>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</si>
  <si>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</si>
  <si>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</si>
  <si>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</si>
  <si>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</si>
  <si>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</si>
  <si>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</si>
  <si>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</si>
  <si>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</si>
  <si>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</si>
  <si>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</si>
  <si>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</si>
  <si>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</si>
  <si>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</si>
  <si>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</si>
  <si>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</si>
  <si>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(0,83чел.*((3221+200)*1,15*1,5*1,083*1,302)+0,084руб./кв.м.асф.покр.*1783кв.м.)*12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</si>
  <si>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</si>
  <si>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</si>
  <si>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</si>
  <si>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</si>
  <si>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</si>
  <si>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</si>
  <si>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(256,74руб./куб.м.*0,02куб.м.*50чел.*6мес)+(270,70руб./куб.м.*0,02куб.м.*50чел.*6мес)</t>
  </si>
  <si>
    <t>по графику</t>
  </si>
  <si>
    <t>-очистка вентканалов</t>
  </si>
  <si>
    <t>16,86руб.*26вентк.*2раза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</si>
  <si>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</si>
  <si>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</si>
  <si>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</si>
  <si>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</si>
  <si>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руб./мес.*740кв.м.)+(6раз в год*0,25руб.в мес.*740кв.м.)</t>
  </si>
  <si>
    <t>.-дезинсекция</t>
  </si>
  <si>
    <t>(2 раза в год*2,22руб./мес.*740кв.м.)+(2раза в год*2,34руб./мес.*740кв.м.)</t>
  </si>
  <si>
    <t>4раза в год</t>
  </si>
  <si>
    <t>.-т/о приборов учета тепловой энергии</t>
  </si>
  <si>
    <t>0руб./мес.*12 мес./1,18</t>
  </si>
  <si>
    <t>.-оценка соответствия лифта требованиям технического регламента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</si>
  <si>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</si>
  <si>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</si>
  <si>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</si>
  <si>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(127,11руб./куб.м.*50чел.*6мес.*1,65/12)+(144,83 руб./куб.м.*50чел.*6мес.*1,65/12)</t>
  </si>
  <si>
    <t>.-вывоз мусора (арендаторы)</t>
  </si>
  <si>
    <t>2,05куб.м.*(178,32руб./куб.м.*6мес.+179,77руб./куб.м.*6мес.)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</si>
  <si>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</si>
  <si>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</si>
  <si>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</si>
  <si>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(8,03ч/час*86,9979руб./час.+1,53руб./м.кв.*(1691+390)кв.м.)*12мес.</t>
  </si>
  <si>
    <t>-очистка кровли от снега</t>
  </si>
  <si>
    <t>13,82руб./кв.м.*924кв.м.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</si>
  <si>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</si>
  <si>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</si>
  <si>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16,24руб.*(1691+390)кв.м.</t>
  </si>
  <si>
    <t>.-гидравлические испытания и промывка системы отопления</t>
  </si>
  <si>
    <t>(586,14руб./куб.м.+(223,96/3)руб./куб.м.)*11966/1000</t>
  </si>
  <si>
    <t>гидравлич.испытания - 1раз в год,   промывка - 1раз в 3 года</t>
  </si>
  <si>
    <t>-резерв на непредвиденные работы</t>
  </si>
  <si>
    <t>(209,52ч/час*86,9979руб./час)+(209,52ч/час*86,9979руб./час/1,302)*25%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</si>
  <si>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</si>
  <si>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</si>
  <si>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</si>
  <si>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</si>
  <si>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</si>
  <si>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</si>
  <si>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</si>
  <si>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</si>
  <si>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</si>
  <si>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руб./кв.м.*(1691+390)кв.м.</t>
  </si>
  <si>
    <t>5.ОДС</t>
  </si>
  <si>
    <t>1,29руб./кв.м*(1691+390)кв.м.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</si>
  <si>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</si>
  <si>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</si>
  <si>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</si>
  <si>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</si>
  <si>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</si>
  <si>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</si>
  <si>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</si>
  <si>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</si>
  <si>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услуг/(1691+390)кв.м./12мес.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</si>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</sst>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</sheetPr>
  <dimension ref="B1:H101"/>
  <sheetViews>
    <sheetView tabSelected="1" zoomScale="130" zoomScaleNormal="130" workbookViewId="0">
      <selection activeCell="B79" sqref="B79:D79"/>
    </sheetView>
  </sheetViews>
  <sheetFormatPr defaultRowHeight="15" x14ac:dyDescent="0.25"/>
  <cols>
    <col min="1" max="1" width="4" style="4" customWidth="1"/>
    <col min="2" max="2" width="44.7109375" style="1" customWidth="1"/>
    <col min="3" max="3" width="14.5703125" style="117" customWidth="1"/>
    <col min="4" max="4" width="33.42578125" style="117" customWidth="1"/>
    <col min="5" max="5" width="18.42578125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30.75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9.75" customHeight="1" x14ac:dyDescent="0.25">
      <c r="B13" s="9"/>
      <c r="C13" s="9"/>
      <c r="D13" s="9"/>
    </row>
    <row r="14" spans="2:5" ht="15.75" x14ac:dyDescent="0.25">
      <c r="B14" s="10" t="s">
        <v>6</v>
      </c>
      <c r="C14" s="11">
        <v>1691</v>
      </c>
      <c r="D14" s="12" t="s">
        <v>7</v>
      </c>
    </row>
    <row r="15" spans="2:5" s="17" customFormat="1" ht="15.75" x14ac:dyDescent="0.25">
      <c r="B15" s="13" t="s">
        <v>8</v>
      </c>
      <c r="C15" s="14">
        <f>236.7+153.3</f>
        <v>390</v>
      </c>
      <c r="D15" s="15"/>
      <c r="E15" s="16"/>
    </row>
    <row r="16" spans="2:5" s="17" customFormat="1" ht="9.75" customHeight="1" x14ac:dyDescent="0.25">
      <c r="B16" s="13"/>
      <c r="C16" s="14"/>
      <c r="D16" s="15"/>
      <c r="E16" s="16"/>
    </row>
    <row r="17" spans="2:5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5" x14ac:dyDescent="0.25">
      <c r="B18" s="22" t="s">
        <v>13</v>
      </c>
      <c r="C18" s="23">
        <f>C14*13.05*12</f>
        <v>264810.60000000003</v>
      </c>
      <c r="D18" s="24" t="s">
        <v>14</v>
      </c>
      <c r="E18" s="25" t="s">
        <v>15</v>
      </c>
    </row>
    <row r="19" spans="2:5" ht="52.5" customHeight="1" x14ac:dyDescent="0.25">
      <c r="B19" s="26" t="s">
        <v>16</v>
      </c>
      <c r="C19" s="27">
        <f>((127.11*1.65/12*50*6)+(144.83*1.65/12*50*6))*1.18</f>
        <v>13236.6795</v>
      </c>
      <c r="D19" s="28" t="s">
        <v>17</v>
      </c>
      <c r="E19" s="29"/>
    </row>
    <row r="20" spans="2:5" x14ac:dyDescent="0.25">
      <c r="B20" s="30" t="s">
        <v>18</v>
      </c>
      <c r="C20" s="27">
        <f>C21+C24</f>
        <v>27364.498260000004</v>
      </c>
      <c r="D20" s="31"/>
      <c r="E20" s="29"/>
    </row>
    <row r="21" spans="2:5" x14ac:dyDescent="0.25">
      <c r="B21" s="32" t="s">
        <v>19</v>
      </c>
      <c r="C21" s="33">
        <f>C22+C23</f>
        <v>0</v>
      </c>
      <c r="D21" s="34"/>
      <c r="E21" s="29"/>
    </row>
    <row r="22" spans="2:5" x14ac:dyDescent="0.25">
      <c r="B22" s="35" t="s">
        <v>20</v>
      </c>
      <c r="C22" s="36">
        <f>236.7*12.05*12*0</f>
        <v>0</v>
      </c>
      <c r="D22" s="37" t="s">
        <v>21</v>
      </c>
      <c r="E22" s="29"/>
    </row>
    <row r="23" spans="2:5" ht="25.5" x14ac:dyDescent="0.25">
      <c r="B23" s="35" t="s">
        <v>22</v>
      </c>
      <c r="C23" s="38">
        <f>0*(178.32*6*1.18+179.77*1.18*6)</f>
        <v>0</v>
      </c>
      <c r="D23" s="39" t="s">
        <v>23</v>
      </c>
      <c r="E23" s="29"/>
    </row>
    <row r="24" spans="2:5" ht="25.5" x14ac:dyDescent="0.25">
      <c r="B24" s="40" t="s">
        <v>24</v>
      </c>
      <c r="C24" s="38">
        <f>C25+C26</f>
        <v>27364.498260000004</v>
      </c>
      <c r="D24" s="39"/>
      <c r="E24" s="29"/>
    </row>
    <row r="25" spans="2:5" x14ac:dyDescent="0.25">
      <c r="B25" s="35" t="s">
        <v>20</v>
      </c>
      <c r="C25" s="36">
        <f>153.3*12.05*12</f>
        <v>22167.180000000004</v>
      </c>
      <c r="D25" s="37" t="s">
        <v>25</v>
      </c>
      <c r="E25" s="29" t="s">
        <v>15</v>
      </c>
    </row>
    <row r="26" spans="2:5" ht="25.5" x14ac:dyDescent="0.25">
      <c r="B26" s="35" t="s">
        <v>22</v>
      </c>
      <c r="C26" s="38">
        <f>2.05*(178.32*6*1.18+179.77*1.18*6)</f>
        <v>5197.3182599999991</v>
      </c>
      <c r="D26" s="39" t="s">
        <v>26</v>
      </c>
      <c r="E26" s="29" t="s">
        <v>15</v>
      </c>
    </row>
    <row r="27" spans="2:5" ht="15.75" x14ac:dyDescent="0.25">
      <c r="B27" s="41" t="s">
        <v>27</v>
      </c>
      <c r="C27" s="42">
        <f>C18+C20</f>
        <v>292175.09826000006</v>
      </c>
      <c r="D27" s="43"/>
      <c r="E27" s="29"/>
    </row>
    <row r="28" spans="2:5" x14ac:dyDescent="0.25">
      <c r="B28" s="44" t="s">
        <v>28</v>
      </c>
      <c r="C28" s="42">
        <f>C29+C30+C31+C32+C33</f>
        <v>5189.76</v>
      </c>
      <c r="D28" s="43"/>
      <c r="E28" s="29"/>
    </row>
    <row r="29" spans="2:5" x14ac:dyDescent="0.25">
      <c r="B29" s="32" t="s">
        <v>29</v>
      </c>
      <c r="C29" s="42">
        <f>34.98*12</f>
        <v>419.76</v>
      </c>
      <c r="D29" s="43" t="s">
        <v>30</v>
      </c>
      <c r="E29" s="29" t="s">
        <v>15</v>
      </c>
    </row>
    <row r="30" spans="2:5" x14ac:dyDescent="0.25">
      <c r="B30" s="32" t="s">
        <v>31</v>
      </c>
      <c r="C30" s="42">
        <f>137.5*12*0</f>
        <v>0</v>
      </c>
      <c r="D30" s="43" t="s">
        <v>32</v>
      </c>
      <c r="E30" s="29"/>
    </row>
    <row r="31" spans="2:5" x14ac:dyDescent="0.25">
      <c r="B31" s="32" t="s">
        <v>33</v>
      </c>
      <c r="C31" s="42">
        <f>123.75*12</f>
        <v>1485</v>
      </c>
      <c r="D31" s="43" t="s">
        <v>34</v>
      </c>
      <c r="E31" s="29" t="s">
        <v>15</v>
      </c>
    </row>
    <row r="32" spans="2:5" x14ac:dyDescent="0.25">
      <c r="B32" s="32" t="s">
        <v>35</v>
      </c>
      <c r="C32" s="42">
        <f>123.75*12</f>
        <v>1485</v>
      </c>
      <c r="D32" s="43" t="s">
        <v>34</v>
      </c>
      <c r="E32" s="29" t="s">
        <v>15</v>
      </c>
    </row>
    <row r="33" spans="2:8" x14ac:dyDescent="0.25">
      <c r="B33" s="32" t="s">
        <v>36</v>
      </c>
      <c r="C33" s="42">
        <f>150*12</f>
        <v>1800</v>
      </c>
      <c r="D33" s="43" t="s">
        <v>37</v>
      </c>
      <c r="E33" s="29" t="s">
        <v>15</v>
      </c>
    </row>
    <row r="34" spans="2:8" x14ac:dyDescent="0.25">
      <c r="B34" s="44" t="s">
        <v>38</v>
      </c>
      <c r="C34" s="42">
        <v>0</v>
      </c>
      <c r="D34" s="43"/>
      <c r="E34" s="29"/>
      <c r="G34" s="4" t="s">
        <v>39</v>
      </c>
    </row>
    <row r="35" spans="2:8" ht="18.75" x14ac:dyDescent="0.25">
      <c r="B35" s="45" t="s">
        <v>40</v>
      </c>
      <c r="C35" s="46">
        <f>C27+C28+C34</f>
        <v>297364.85826000007</v>
      </c>
      <c r="D35" s="43"/>
      <c r="E35" s="29"/>
    </row>
    <row r="36" spans="2:8" ht="15.75" x14ac:dyDescent="0.25">
      <c r="B36" s="47" t="s">
        <v>41</v>
      </c>
      <c r="C36" s="48" t="s">
        <v>10</v>
      </c>
      <c r="D36" s="49" t="s">
        <v>42</v>
      </c>
      <c r="E36" s="29"/>
    </row>
    <row r="37" spans="2:8" ht="15.75" x14ac:dyDescent="0.25">
      <c r="B37" s="50" t="s">
        <v>43</v>
      </c>
      <c r="C37" s="27"/>
      <c r="D37" s="51"/>
      <c r="E37" s="29"/>
      <c r="H37" s="52"/>
    </row>
    <row r="38" spans="2:8" ht="38.25" x14ac:dyDescent="0.25">
      <c r="B38" s="30" t="s">
        <v>44</v>
      </c>
      <c r="C38" s="53">
        <f>(0.83*((3221+200)*1.15*1.5*1.083*1.302)+0.084*1783)*12</f>
        <v>84675.586639265981</v>
      </c>
      <c r="D38" s="54" t="s">
        <v>45</v>
      </c>
      <c r="E38" s="29" t="s">
        <v>46</v>
      </c>
      <c r="H38" s="55"/>
    </row>
    <row r="39" spans="2:8" ht="15.75" x14ac:dyDescent="0.25">
      <c r="B39" s="30" t="s">
        <v>47</v>
      </c>
      <c r="C39" s="53">
        <f>0*8618.11*12</f>
        <v>0</v>
      </c>
      <c r="D39" s="54" t="s">
        <v>48</v>
      </c>
      <c r="E39" s="29"/>
      <c r="H39" s="55"/>
    </row>
    <row r="40" spans="2:8" ht="25.5" x14ac:dyDescent="0.25">
      <c r="B40" s="30" t="s">
        <v>49</v>
      </c>
      <c r="C40" s="53">
        <f>((0*8618.11)+0*10.20529)*12</f>
        <v>0</v>
      </c>
      <c r="D40" s="54" t="s">
        <v>50</v>
      </c>
      <c r="E40" s="29"/>
      <c r="H40" s="55"/>
    </row>
    <row r="41" spans="2:8" s="58" customFormat="1" ht="38.25" x14ac:dyDescent="0.25">
      <c r="B41" s="30" t="s">
        <v>51</v>
      </c>
      <c r="C41" s="56">
        <f>256.74*0.02*50*6+270.7*0.02*50*6</f>
        <v>3164.64</v>
      </c>
      <c r="D41" s="57" t="s">
        <v>52</v>
      </c>
      <c r="E41" s="25" t="s">
        <v>53</v>
      </c>
      <c r="H41" s="55"/>
    </row>
    <row r="42" spans="2:8" ht="15.75" x14ac:dyDescent="0.25">
      <c r="B42" s="30" t="s">
        <v>54</v>
      </c>
      <c r="C42" s="56">
        <f>16.86*26*2</f>
        <v>876.72</v>
      </c>
      <c r="D42" s="59" t="s">
        <v>55</v>
      </c>
      <c r="E42" s="29" t="s">
        <v>56</v>
      </c>
      <c r="H42" s="55"/>
    </row>
    <row r="43" spans="2:8" ht="15.75" x14ac:dyDescent="0.25">
      <c r="B43" s="30" t="s">
        <v>57</v>
      </c>
      <c r="C43" s="56">
        <f>4*49.72*0</f>
        <v>0</v>
      </c>
      <c r="D43" s="59" t="s">
        <v>58</v>
      </c>
      <c r="E43" s="29"/>
      <c r="H43" s="55"/>
    </row>
    <row r="44" spans="2:8" ht="38.25" x14ac:dyDescent="0.25">
      <c r="B44" s="30" t="s">
        <v>59</v>
      </c>
      <c r="C44" s="56">
        <f>((6*0.24*740)+(6*0.25*740))</f>
        <v>2175.6</v>
      </c>
      <c r="D44" s="60" t="s">
        <v>60</v>
      </c>
      <c r="E44" s="29" t="s">
        <v>15</v>
      </c>
      <c r="H44" s="55"/>
    </row>
    <row r="45" spans="2:8" ht="38.25" x14ac:dyDescent="0.25">
      <c r="B45" s="61" t="s">
        <v>61</v>
      </c>
      <c r="C45" s="56">
        <f>(2*2.22*740)+(2*2.34*740)</f>
        <v>6748.8</v>
      </c>
      <c r="D45" s="60" t="s">
        <v>62</v>
      </c>
      <c r="E45" s="29" t="s">
        <v>63</v>
      </c>
      <c r="H45" s="55"/>
    </row>
    <row r="46" spans="2:8" ht="15.75" x14ac:dyDescent="0.25">
      <c r="B46" s="26" t="s">
        <v>64</v>
      </c>
      <c r="C46" s="62">
        <f>0*12/1.18</f>
        <v>0</v>
      </c>
      <c r="D46" s="60" t="s">
        <v>65</v>
      </c>
      <c r="E46" s="29"/>
      <c r="H46" s="55"/>
    </row>
    <row r="47" spans="2:8" ht="25.5" x14ac:dyDescent="0.25">
      <c r="B47" s="26" t="s">
        <v>66</v>
      </c>
      <c r="C47" s="62">
        <f>0/1.18</f>
        <v>0</v>
      </c>
      <c r="D47" s="60"/>
      <c r="E47" s="29"/>
      <c r="H47" s="55"/>
    </row>
    <row r="48" spans="2:8" ht="15.75" x14ac:dyDescent="0.25">
      <c r="B48" s="26" t="s">
        <v>67</v>
      </c>
      <c r="C48" s="62">
        <f>0*2*12</f>
        <v>0</v>
      </c>
      <c r="D48" s="63" t="s">
        <v>68</v>
      </c>
      <c r="E48" s="29"/>
      <c r="H48" s="55"/>
    </row>
    <row r="49" spans="2:8" ht="38.25" x14ac:dyDescent="0.25">
      <c r="B49" s="26" t="s">
        <v>69</v>
      </c>
      <c r="C49" s="27">
        <f>(127.11*1.65/12*50*6)+(144.83*1.65/12*50*6)</f>
        <v>11217.525000000001</v>
      </c>
      <c r="D49" s="28" t="s">
        <v>70</v>
      </c>
      <c r="E49" s="29" t="s">
        <v>53</v>
      </c>
      <c r="H49" s="55"/>
    </row>
    <row r="50" spans="2:8" ht="25.5" x14ac:dyDescent="0.25">
      <c r="B50" s="26" t="s">
        <v>71</v>
      </c>
      <c r="C50" s="64">
        <f>2.05*(178.32*6+179.77*6)</f>
        <v>4404.5069999999996</v>
      </c>
      <c r="D50" s="31" t="s">
        <v>72</v>
      </c>
      <c r="E50" s="29" t="s">
        <v>53</v>
      </c>
      <c r="H50" s="55"/>
    </row>
    <row r="51" spans="2:8" ht="15.75" x14ac:dyDescent="0.25">
      <c r="B51" s="65" t="s">
        <v>73</v>
      </c>
      <c r="C51" s="66">
        <f>C38+C39+C40+C41+C42+C43+C44+C45+C46+C47+C48+C49+C50</f>
        <v>113263.378639266</v>
      </c>
      <c r="D51" s="67"/>
    </row>
    <row r="52" spans="2:8" x14ac:dyDescent="0.25">
      <c r="B52" s="30" t="s">
        <v>74</v>
      </c>
      <c r="C52" s="42"/>
      <c r="D52" s="43"/>
      <c r="E52" s="29"/>
    </row>
    <row r="53" spans="2:8" s="69" customFormat="1" ht="25.5" x14ac:dyDescent="0.2">
      <c r="B53" s="68" t="s">
        <v>75</v>
      </c>
      <c r="C53" s="42">
        <f>(8.03*86.9979+1.53*(C14+C15))*12</f>
        <v>46590.277643999994</v>
      </c>
      <c r="D53" s="43" t="s">
        <v>76</v>
      </c>
      <c r="E53" s="29"/>
    </row>
    <row r="54" spans="2:8" x14ac:dyDescent="0.25">
      <c r="B54" s="61" t="s">
        <v>77</v>
      </c>
      <c r="C54" s="42">
        <f>13.82*924</f>
        <v>12769.68</v>
      </c>
      <c r="D54" s="70" t="s">
        <v>78</v>
      </c>
      <c r="E54" s="29" t="s">
        <v>79</v>
      </c>
    </row>
    <row r="55" spans="2:8" ht="89.25" x14ac:dyDescent="0.25">
      <c r="B55" s="71" t="s">
        <v>80</v>
      </c>
      <c r="C55" s="62">
        <f>16.24*(C14+C15)*0</f>
        <v>0</v>
      </c>
      <c r="D55" s="57" t="s">
        <v>81</v>
      </c>
      <c r="E55" s="72"/>
    </row>
    <row r="56" spans="2:8" ht="51" x14ac:dyDescent="0.25">
      <c r="B56" s="30" t="s">
        <v>82</v>
      </c>
      <c r="C56" s="73">
        <f>(586.14+223.96/3)*11966/1000</f>
        <v>7907.0530266666665</v>
      </c>
      <c r="D56" s="43" t="s">
        <v>83</v>
      </c>
      <c r="E56" s="74" t="s">
        <v>84</v>
      </c>
    </row>
    <row r="57" spans="2:8" ht="25.5" x14ac:dyDescent="0.25">
      <c r="B57" s="51" t="s">
        <v>85</v>
      </c>
      <c r="C57" s="42">
        <f>(209.52*86.9979)+(209.52*86.9979/1.302)*0.25</f>
        <v>21727.761607078344</v>
      </c>
      <c r="D57" s="43" t="s">
        <v>86</v>
      </c>
      <c r="E57" s="29"/>
    </row>
    <row r="58" spans="2:8" ht="15.75" x14ac:dyDescent="0.25">
      <c r="B58" s="75" t="s">
        <v>87</v>
      </c>
      <c r="C58" s="66">
        <f>C53+C54+C55+C56+C57</f>
        <v>88994.772277744996</v>
      </c>
      <c r="D58" s="67"/>
      <c r="E58" s="29"/>
    </row>
    <row r="59" spans="2:8" x14ac:dyDescent="0.25">
      <c r="B59" s="51" t="s">
        <v>88</v>
      </c>
      <c r="C59" s="42"/>
      <c r="D59" s="43"/>
      <c r="E59" s="29"/>
    </row>
    <row r="60" spans="2:8" s="58" customFormat="1" ht="12.75" x14ac:dyDescent="0.2">
      <c r="B60" s="76" t="s">
        <v>89</v>
      </c>
      <c r="C60" s="77"/>
      <c r="D60" s="78"/>
      <c r="E60" s="25"/>
    </row>
    <row r="61" spans="2:8" x14ac:dyDescent="0.25">
      <c r="B61" s="51" t="s">
        <v>90</v>
      </c>
      <c r="C61" s="27"/>
      <c r="D61" s="79"/>
      <c r="E61" s="29"/>
    </row>
    <row r="62" spans="2:8" x14ac:dyDescent="0.25">
      <c r="B62" s="51" t="s">
        <v>91</v>
      </c>
      <c r="C62" s="27"/>
      <c r="D62" s="79"/>
      <c r="E62" s="29"/>
    </row>
    <row r="63" spans="2:8" x14ac:dyDescent="0.25">
      <c r="B63" s="51" t="s">
        <v>92</v>
      </c>
      <c r="C63" s="27"/>
      <c r="D63" s="79"/>
      <c r="E63" s="29"/>
    </row>
    <row r="64" spans="2:8" x14ac:dyDescent="0.25">
      <c r="B64" s="51" t="s">
        <v>93</v>
      </c>
      <c r="C64" s="27"/>
      <c r="D64" s="79"/>
      <c r="E64" s="29"/>
    </row>
    <row r="65" spans="2:8" ht="15.75" x14ac:dyDescent="0.25">
      <c r="B65" s="75" t="s">
        <v>94</v>
      </c>
      <c r="C65" s="80">
        <f>C60+C61</f>
        <v>0</v>
      </c>
      <c r="D65" s="81"/>
      <c r="E65" s="29"/>
    </row>
    <row r="66" spans="2:8" x14ac:dyDescent="0.25">
      <c r="B66" s="82" t="s">
        <v>95</v>
      </c>
      <c r="C66" s="27">
        <f>2.679*(C14+C15)</f>
        <v>5574.9989999999998</v>
      </c>
      <c r="D66" s="79" t="s">
        <v>96</v>
      </c>
      <c r="E66" s="29"/>
    </row>
    <row r="67" spans="2:8" ht="15.75" x14ac:dyDescent="0.25">
      <c r="B67" s="83" t="s">
        <v>97</v>
      </c>
      <c r="C67" s="84">
        <f>1.29*(C14+C15)</f>
        <v>2684.4900000000002</v>
      </c>
      <c r="D67" s="84" t="s">
        <v>98</v>
      </c>
      <c r="E67" s="29"/>
      <c r="H67" s="85"/>
    </row>
    <row r="68" spans="2:8" x14ac:dyDescent="0.25">
      <c r="B68" s="32" t="s">
        <v>99</v>
      </c>
      <c r="C68" s="27">
        <f>(C51+C58)*0.212</f>
        <v>42878.727994406327</v>
      </c>
      <c r="D68" s="86" t="s">
        <v>100</v>
      </c>
      <c r="E68" s="29"/>
    </row>
    <row r="69" spans="2:8" ht="38.25" x14ac:dyDescent="0.25">
      <c r="B69" s="87" t="s">
        <v>101</v>
      </c>
      <c r="C69" s="84">
        <f>(C51+C58+C68)*1.03/(1-0.134*1.03)*0.134</f>
        <v>39251.249480676837</v>
      </c>
      <c r="D69" s="88" t="s">
        <v>102</v>
      </c>
      <c r="E69" s="29" t="s">
        <v>15</v>
      </c>
    </row>
    <row r="70" spans="2:8" ht="15.75" x14ac:dyDescent="0.25">
      <c r="B70" s="89" t="s">
        <v>103</v>
      </c>
      <c r="C70" s="80">
        <f>C66+C67+C68+C69</f>
        <v>90389.466475083173</v>
      </c>
      <c r="D70" s="81"/>
      <c r="E70" s="29"/>
    </row>
    <row r="71" spans="2:8" x14ac:dyDescent="0.25">
      <c r="B71" s="32" t="s">
        <v>104</v>
      </c>
      <c r="C71" s="27">
        <f>(C51+C58+C65+C70)*3%</f>
        <v>8779.4285217628239</v>
      </c>
      <c r="D71" s="79"/>
      <c r="E71" s="29"/>
    </row>
    <row r="72" spans="2:8" ht="15.75" x14ac:dyDescent="0.25">
      <c r="B72" s="90" t="s">
        <v>40</v>
      </c>
      <c r="C72" s="91">
        <f>C51+C58+C65+C70+C71</f>
        <v>301427.045913857</v>
      </c>
      <c r="D72" s="92"/>
      <c r="E72" s="29"/>
    </row>
    <row r="73" spans="2:8" ht="15.75" x14ac:dyDescent="0.25">
      <c r="B73" s="90" t="s">
        <v>105</v>
      </c>
      <c r="C73" s="91">
        <f>C72*1.18</f>
        <v>355683.91417835123</v>
      </c>
      <c r="D73" s="92"/>
      <c r="E73" s="29"/>
    </row>
    <row r="74" spans="2:8" ht="15.75" x14ac:dyDescent="0.25">
      <c r="B74" s="93"/>
      <c r="C74" s="94">
        <f>C35-C73</f>
        <v>-58319.055918351165</v>
      </c>
      <c r="D74" s="95"/>
      <c r="E74" s="29"/>
    </row>
    <row r="75" spans="2:8" ht="30" x14ac:dyDescent="0.25">
      <c r="B75" s="96" t="s">
        <v>106</v>
      </c>
      <c r="C75" s="97">
        <f>C73/(C14+C15)/12</f>
        <v>14.243309073296141</v>
      </c>
      <c r="D75" s="98" t="s">
        <v>107</v>
      </c>
      <c r="E75" s="99"/>
    </row>
    <row r="76" spans="2:8" x14ac:dyDescent="0.25">
      <c r="B76" s="100"/>
      <c r="C76" s="2"/>
      <c r="D76" s="2"/>
      <c r="E76" s="101"/>
    </row>
    <row r="77" spans="2:8" x14ac:dyDescent="0.25">
      <c r="B77" s="102" t="s">
        <v>108</v>
      </c>
      <c r="C77" s="103"/>
      <c r="D77" s="104"/>
      <c r="E77" s="101"/>
    </row>
    <row r="78" spans="2:8" ht="24.75" customHeight="1" x14ac:dyDescent="0.25">
      <c r="B78" s="105" t="s">
        <v>109</v>
      </c>
      <c r="C78" s="105"/>
      <c r="D78" s="105"/>
      <c r="E78" s="101"/>
    </row>
    <row r="79" spans="2:8" ht="28.5" customHeight="1" x14ac:dyDescent="0.25">
      <c r="B79" s="106" t="s">
        <v>110</v>
      </c>
      <c r="C79" s="106"/>
      <c r="D79" s="106"/>
      <c r="E79" s="101"/>
    </row>
    <row r="80" spans="2:8" ht="32.25" customHeight="1" x14ac:dyDescent="0.25">
      <c r="B80" s="107"/>
      <c r="C80" s="108"/>
      <c r="D80" s="108"/>
      <c r="E80" s="101"/>
    </row>
    <row r="81" spans="2:5" x14ac:dyDescent="0.25">
      <c r="B81" s="109"/>
      <c r="C81" s="110"/>
      <c r="D81" s="110"/>
      <c r="E81" s="101"/>
    </row>
    <row r="82" spans="2:5" ht="15.75" x14ac:dyDescent="0.25">
      <c r="B82" s="111" t="s">
        <v>111</v>
      </c>
      <c r="C82" s="7"/>
      <c r="D82" s="112" t="s">
        <v>112</v>
      </c>
      <c r="E82" s="101"/>
    </row>
    <row r="83" spans="2:5" x14ac:dyDescent="0.25">
      <c r="B83" s="5"/>
      <c r="C83" s="5"/>
      <c r="D83" s="5"/>
    </row>
    <row r="84" spans="2:5" x14ac:dyDescent="0.25">
      <c r="B84" s="5"/>
      <c r="C84" s="5"/>
      <c r="D84" s="5"/>
    </row>
    <row r="85" spans="2:5" ht="18.75" x14ac:dyDescent="0.25">
      <c r="B85" s="113"/>
      <c r="C85" s="113"/>
      <c r="D85" s="113"/>
    </row>
    <row r="86" spans="2:5" x14ac:dyDescent="0.25">
      <c r="B86" s="5"/>
      <c r="C86" s="5"/>
      <c r="D86" s="5"/>
    </row>
    <row r="87" spans="2:5" x14ac:dyDescent="0.25">
      <c r="B87" s="5"/>
      <c r="C87" s="5"/>
      <c r="D87" s="5"/>
    </row>
    <row r="88" spans="2:5" x14ac:dyDescent="0.25">
      <c r="B88" s="5"/>
      <c r="C88" s="5"/>
      <c r="D88" s="5"/>
    </row>
    <row r="89" spans="2:5" x14ac:dyDescent="0.25">
      <c r="B89" s="5"/>
      <c r="C89" s="5"/>
      <c r="D89" s="5"/>
    </row>
    <row r="90" spans="2:5" x14ac:dyDescent="0.25">
      <c r="B90" s="5"/>
      <c r="C90" s="5"/>
      <c r="D90" s="5"/>
    </row>
    <row r="91" spans="2:5" x14ac:dyDescent="0.25">
      <c r="B91" s="5"/>
      <c r="C91" s="5"/>
      <c r="D91" s="5"/>
    </row>
    <row r="92" spans="2:5" x14ac:dyDescent="0.25">
      <c r="B92" s="5"/>
      <c r="C92" s="5"/>
      <c r="D92" s="5"/>
    </row>
    <row r="93" spans="2:5" x14ac:dyDescent="0.25">
      <c r="B93" s="5"/>
      <c r="C93" s="5"/>
      <c r="D93" s="5"/>
    </row>
    <row r="94" spans="2:5" s="116" customFormat="1" x14ac:dyDescent="0.25">
      <c r="B94" s="114"/>
      <c r="C94" s="114"/>
      <c r="D94" s="114"/>
      <c r="E94" s="115"/>
    </row>
    <row r="95" spans="2:5" s="116" customFormat="1" x14ac:dyDescent="0.25">
      <c r="B95" s="114"/>
      <c r="C95" s="114"/>
      <c r="D95" s="114"/>
      <c r="E95" s="115"/>
    </row>
    <row r="96" spans="2:5" s="116" customFormat="1" x14ac:dyDescent="0.25">
      <c r="B96" s="114"/>
      <c r="C96" s="114"/>
      <c r="D96" s="114"/>
      <c r="E96" s="115"/>
    </row>
    <row r="97" spans="2:5" s="116" customFormat="1" x14ac:dyDescent="0.25">
      <c r="B97" s="114"/>
      <c r="C97" s="114"/>
      <c r="D97" s="114"/>
      <c r="E97" s="115"/>
    </row>
    <row r="98" spans="2:5" s="116" customFormat="1" x14ac:dyDescent="0.25">
      <c r="B98" s="114"/>
      <c r="C98" s="114"/>
      <c r="D98" s="114"/>
      <c r="E98" s="115"/>
    </row>
    <row r="99" spans="2:5" s="116" customFormat="1" x14ac:dyDescent="0.25">
      <c r="B99" s="114"/>
      <c r="C99" s="114"/>
      <c r="D99" s="114"/>
      <c r="E99" s="115"/>
    </row>
    <row r="100" spans="2:5" s="116" customFormat="1" x14ac:dyDescent="0.25">
      <c r="B100" s="114"/>
      <c r="C100" s="114"/>
      <c r="D100" s="114"/>
      <c r="E100" s="115"/>
    </row>
    <row r="101" spans="2:5" s="116" customFormat="1" x14ac:dyDescent="0.25">
      <c r="B101" s="114"/>
      <c r="C101" s="114"/>
      <c r="D101" s="114"/>
      <c r="E101" s="115"/>
    </row>
  </sheetData>
  <mergeCells count="4">
    <mergeCell ref="B10:D10"/>
    <mergeCell ref="B11:D12"/>
    <mergeCell ref="B78:D78"/>
    <mergeCell ref="B79:D79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Калинина7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2015-05-19T07:59:13Z</dcterms:created>
  <dcterms:modified xsi:type="dcterms:W3CDTF">2015-05-19T07:59:24Z</dcterms:modified>
</cp:coreProperties>
</file>