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льяновых 46" sheetId="2" r:id="rId1"/>
  </sheets>
  <calcPr calcId="125725"/>
</workbook>
</file>

<file path=xl/calcChain.xml><?xml version="1.0" encoding="utf-8"?>
<calcChain xmlns="http://schemas.openxmlformats.org/spreadsheetml/2006/main">
  <c r="B51" i="2"/>
  <c r="B33"/>
  <c r="B11"/>
  <c r="B68" s="1"/>
  <c r="B26"/>
  <c r="B27"/>
  <c r="B25" s="1"/>
  <c r="B24"/>
  <c r="B23"/>
  <c r="B21"/>
  <c r="B20"/>
  <c r="B17"/>
  <c r="B18"/>
  <c r="B66"/>
  <c r="B58"/>
  <c r="B57"/>
  <c r="B55"/>
  <c r="B50"/>
  <c r="B49"/>
  <c r="B48"/>
  <c r="B47"/>
  <c r="B46"/>
  <c r="B45"/>
  <c r="B44"/>
  <c r="B43"/>
  <c r="B42"/>
  <c r="B41"/>
  <c r="B40"/>
  <c r="B52" s="1"/>
  <c r="B35"/>
  <c r="B34"/>
  <c r="B32"/>
  <c r="B31"/>
  <c r="B30"/>
  <c r="B29"/>
  <c r="B19"/>
  <c r="B14"/>
  <c r="B13"/>
  <c r="B67"/>
  <c r="B22" l="1"/>
  <c r="B16"/>
  <c r="B54"/>
  <c r="B59" s="1"/>
  <c r="B56"/>
  <c r="B15" l="1"/>
  <c r="B28" s="1"/>
  <c r="B37" s="1"/>
  <c r="B69"/>
  <c r="B70" l="1"/>
  <c r="B71" s="1"/>
  <c r="B72" l="1"/>
  <c r="B73" s="1"/>
  <c r="B74" s="1"/>
  <c r="B76" l="1"/>
  <c r="B75"/>
</calcChain>
</file>

<file path=xl/sharedStrings.xml><?xml version="1.0" encoding="utf-8"?>
<sst xmlns="http://schemas.openxmlformats.org/spreadsheetml/2006/main" count="154" uniqueCount="138">
  <si>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</si>
  <si>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</si>
  <si>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</si>
  <si>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</si>
  <si>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</si>
  <si>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</si>
  <si>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</si>
  <si>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</si>
  <si>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</si>
  <si>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</si>
  <si>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</si>
  <si>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</si>
  <si>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</si>
  <si>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</si>
  <si>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</si>
  <si>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</si>
  <si>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</si>
  <si>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</si>
  <si>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</si>
  <si>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</si>
  <si>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</si>
  <si>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</si>
  <si>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</si>
  <si>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</si>
  <si>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</si>
  <si>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</si>
  <si>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</si>
  <si>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</si>
  <si>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</si>
  <si>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</si>
  <si>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</si>
  <si>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</si>
  <si>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</si>
  <si>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</si>
  <si>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</si>
  <si>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</si>
  <si>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</si>
  <si>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</si>
  <si>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</si>
  <si>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</si>
  <si>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</si>
  <si>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</si>
  <si>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</si>
  <si>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</si>
  <si>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</si>
  <si>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</si>
  <si>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</si>
  <si>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</si>
  <si>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</si>
  <si>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</si>
  <si>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</si>
  <si>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</si>
  <si>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</si>
  <si>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</si>
  <si>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</si>
  <si>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</si>
  <si>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</si>
  <si>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</si>
  <si>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</si>
  <si>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</si>
  <si>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</si>
  <si>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</si>
  <si>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</si>
  <si>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</si>
  <si>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</si>
  <si>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</si>
  <si>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</si>
  <si>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</si>
  <si>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</si>
  <si>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</si>
  <si>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</si>
  <si>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</si>
  <si>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</si>
  <si>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</si>
  <si>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</si>
  <si>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</si>
  <si>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</si>
  <si>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</si>
  <si>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</si>
  <si>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</si>
  <si>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</si>
  <si>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</si>
  <si>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</si>
  <si>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</si>
  <si>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</si>
  <si>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</si>
  <si>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</si>
  <si>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</si>
  <si>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</si>
  <si>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</si>
  <si>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</si>
  <si>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</si>
  <si>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</si>
  <si>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</si>
  <si>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</si>
  <si>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</si>
  <si>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</si>
  <si>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</si>
  <si>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</si>
  <si>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</si>
  <si>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</si>
  <si>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</si>
  <si>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</si>
  <si>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</si>
  <si>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</si>
  <si>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Тех.обслуживание</t>
  </si>
  <si>
    <t>Вывоз мусора</t>
  </si>
  <si>
    <t>План работ на 2015 год, согласно Постановлению Правительства РФ №731 от 23 сентября 2010г. п.11 пп.б.</t>
  </si>
  <si>
    <t>49,72 руб.*0дым.*4 раза в год</t>
  </si>
  <si>
    <t xml:space="preserve">Смета доходов  и расходов на содержание и текущий ремонт общедомового имущества дома № 46,   ул. Ульяновых </t>
  </si>
  <si>
    <t>Абдуллина Лия Аскатовна (75 кв.м)</t>
  </si>
  <si>
    <t>Киселев Александр николаевич (55,1 кв.м)</t>
  </si>
  <si>
    <t>Турчина Анна Александровна (135,9 кв.м)</t>
  </si>
  <si>
    <t>Еконян Айкуи Карапетовна (135,6 кв.м)</t>
  </si>
  <si>
    <t>75кв.м.*12,05руб.*12мес.</t>
  </si>
  <si>
    <t>2,85куб.м.*(178,32руб.*1,18*6мес.+179,77руб.*1,18*6мес.)</t>
  </si>
  <si>
    <t>55,1кв.м.*12,05руб.*12мес.</t>
  </si>
  <si>
    <t>2,27куб.м.*(178,32руб.*1,18*6мес.+179,77руб.*1,18*6мес.)</t>
  </si>
  <si>
    <t>135,9кв.м.*12,05руб.*12мес.</t>
  </si>
  <si>
    <t>0,88куб.м.*(178,32руб.*1,18*6мес.+179,77руб.*1,18*6мес.)</t>
  </si>
  <si>
    <t>135,6кв.м.*12,05руб.*12мес.</t>
  </si>
  <si>
    <t>0,65куб.м.*(178,32руб.*1,18*6мес.+179,77руб.*1,18*6мес.)</t>
  </si>
  <si>
    <t>4819,9кв.м.*13,05 руб.*12 мес.</t>
  </si>
  <si>
    <t xml:space="preserve">((127,11руб.куб.м.в мес.*200чел.*6мес.*1,65/12)+(144,83 руб./куб.м.в мес.*200чел.*6мес.*1,65/12))*1,18               </t>
  </si>
  <si>
    <t>(256,74руб./куб.м.*0,02куб.м.*200чел.*6мес.)+(270,7руб./куб.м.*0,02куб.м.*200чел.*6мес.)</t>
  </si>
  <si>
    <t>((127,11руб./куб.м..в мес.*200чел.*6мес.*1,65/12)+(144,83 руб./куб.м.в мес.*200чел.*6мес.*1,65/12))</t>
  </si>
  <si>
    <t xml:space="preserve">(586,14руб./куб.м.+223,67/3руб./куб.м.)*23832/1000      </t>
  </si>
  <si>
    <t>(6раз в год*0,24 руб./мес.*1417,2кв.м.)+(6раз в год*0,25руб.в мес.*1417,2кв.м.)</t>
  </si>
  <si>
    <t>(2 раза в год*2,22руб./мес.*1417,2кв.м.)+(2раза в год*2,34руб./мес.*1417,2кв.м.)</t>
  </si>
  <si>
    <t>13,82руб./кв.м.*1824кв.м</t>
  </si>
  <si>
    <t>(546,75ч/час*86,9979руб./час)+(546,75ч/час*86,9979руб./час/1,302)*25%</t>
  </si>
  <si>
    <t>16,24руб./1кв.м*(4819,9+401,6кв.м.)</t>
  </si>
  <si>
    <t>2,679руб./кв.м.*(4819,9+401,6кв.м)</t>
  </si>
  <si>
    <t>1,29руб./кв.м*(4819,9+401,6кв.м)</t>
  </si>
  <si>
    <t>(0,64чел.*((3221+200)*1,15*1,5*1,083*1,302)+0,084руб./кв.м.асф.покр.*1268,2кв.м.)*12 мес.</t>
  </si>
  <si>
    <t>16,86 руб.*71вент.*2раза в год</t>
  </si>
  <si>
    <t>6,65куб.м.*(178,32руб.*6мес.+179,77руб.*6мес.)</t>
  </si>
  <si>
    <t>(13,87ч/час*86,9979руб./час.+1,53руб./м.кв.*(4819,9+401,6кв.м.))*12мес.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</si>
</sst>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tabSelected="1" topLeftCell="A28" workbookViewId="0">
      <selection activeCell="E1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3" t="s">
        <v>107</v>
      </c>
      <c r="B6" s="103"/>
      <c r="C6" s="103"/>
      <c r="D6" s="103"/>
    </row>
    <row r="7" spans="1:6" ht="40.9" customHeight="1">
      <c r="A7" s="104" t="s">
        <v>109</v>
      </c>
      <c r="B7" s="104"/>
      <c r="C7" s="10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4819.8999999999996</v>
      </c>
      <c r="C10" s="4" t="s">
        <v>102</v>
      </c>
    </row>
    <row r="11" spans="1:6" ht="18.600000000000001" customHeight="1">
      <c r="A11" s="3" t="s">
        <v>48</v>
      </c>
      <c r="B11" s="4">
        <f>75+55.1+135.9+135.6</f>
        <v>401.6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13.05</v>
      </c>
    </row>
    <row r="13" spans="1:6" ht="18.600000000000001" customHeight="1">
      <c r="A13" s="68" t="s">
        <v>4</v>
      </c>
      <c r="B13" s="7">
        <f>B10*F12*12</f>
        <v>754796.34</v>
      </c>
      <c r="C13" s="82" t="s">
        <v>122</v>
      </c>
      <c r="D13" s="8" t="s">
        <v>50</v>
      </c>
      <c r="E13" s="52" t="s">
        <v>72</v>
      </c>
      <c r="F13" s="52">
        <v>4819.8999999999996</v>
      </c>
    </row>
    <row r="14" spans="1:6" ht="65.25" customHeight="1">
      <c r="A14" s="41" t="s">
        <v>5</v>
      </c>
      <c r="B14" s="9">
        <f>((127.11*F15*6*1.65/12)+(144.83*F15*6*1.65/12))*1.18</f>
        <v>52946.717999999993</v>
      </c>
      <c r="C14" s="71" t="s">
        <v>123</v>
      </c>
      <c r="D14" s="10"/>
      <c r="E14" s="52" t="s">
        <v>73</v>
      </c>
      <c r="F14" s="52">
        <v>71</v>
      </c>
    </row>
    <row r="15" spans="1:6" ht="28.15" customHeight="1">
      <c r="A15" s="15" t="s">
        <v>92</v>
      </c>
      <c r="B15" s="9">
        <f>B16+B19+B22+B25</f>
        <v>74930.953380000006</v>
      </c>
      <c r="C15" s="71"/>
      <c r="D15" s="11" t="s">
        <v>50</v>
      </c>
      <c r="E15" s="52" t="s">
        <v>74</v>
      </c>
      <c r="F15" s="52">
        <v>200</v>
      </c>
    </row>
    <row r="16" spans="1:6" ht="15.75" customHeight="1">
      <c r="A16" s="16" t="s">
        <v>110</v>
      </c>
      <c r="B16" s="63">
        <f>B17+B18</f>
        <v>18070.54002</v>
      </c>
      <c r="C16" s="71"/>
      <c r="D16" s="13"/>
      <c r="E16" s="52" t="s">
        <v>75</v>
      </c>
      <c r="F16" s="52">
        <v>23832</v>
      </c>
    </row>
    <row r="17" spans="1:6" ht="15.75" customHeight="1">
      <c r="A17" s="16" t="s">
        <v>105</v>
      </c>
      <c r="B17" s="64">
        <f>75*12.05*12</f>
        <v>10845</v>
      </c>
      <c r="C17" s="75" t="s">
        <v>114</v>
      </c>
      <c r="D17" s="13"/>
      <c r="E17" s="52" t="s">
        <v>76</v>
      </c>
      <c r="F17" s="52">
        <v>1417.2</v>
      </c>
    </row>
    <row r="18" spans="1:6" ht="42" customHeight="1">
      <c r="A18" s="16" t="s">
        <v>106</v>
      </c>
      <c r="B18" s="65">
        <f>2.85*(178.32*1.18*6+179.77*1.18*6)</f>
        <v>7225.5400200000004</v>
      </c>
      <c r="C18" s="76" t="s">
        <v>115</v>
      </c>
      <c r="D18" s="13"/>
      <c r="E18" s="52" t="s">
        <v>77</v>
      </c>
      <c r="F18" s="52">
        <v>1824</v>
      </c>
    </row>
    <row r="19" spans="1:6" ht="33" customHeight="1">
      <c r="A19" s="16" t="s">
        <v>111</v>
      </c>
      <c r="B19" s="63">
        <f>B20+B21</f>
        <v>13722.539244000001</v>
      </c>
      <c r="C19" s="71"/>
      <c r="D19" s="13"/>
      <c r="E19" s="52" t="s">
        <v>78</v>
      </c>
      <c r="F19" s="52"/>
    </row>
    <row r="20" spans="1:6" ht="15.75" customHeight="1">
      <c r="A20" s="16" t="s">
        <v>105</v>
      </c>
      <c r="B20" s="64">
        <f>55.1*12.05*12</f>
        <v>7967.4600000000009</v>
      </c>
      <c r="C20" s="75" t="s">
        <v>116</v>
      </c>
      <c r="D20" s="13"/>
      <c r="E20" s="52" t="s">
        <v>79</v>
      </c>
      <c r="F20" s="52"/>
    </row>
    <row r="21" spans="1:6" ht="39" customHeight="1">
      <c r="A21" s="16" t="s">
        <v>106</v>
      </c>
      <c r="B21" s="65">
        <f>2.27*(178.32*1.18*6+179.77*1.18*6)</f>
        <v>5755.0792440000005</v>
      </c>
      <c r="C21" s="76" t="s">
        <v>117</v>
      </c>
      <c r="D21" s="13"/>
      <c r="E21" s="52" t="s">
        <v>80</v>
      </c>
      <c r="F21" s="52">
        <v>1268.2</v>
      </c>
    </row>
    <row r="22" spans="1:6" ht="31.5" customHeight="1">
      <c r="A22" s="16" t="s">
        <v>112</v>
      </c>
      <c r="B22" s="63">
        <f>B23+B24</f>
        <v>21882.183936000001</v>
      </c>
      <c r="C22" s="71"/>
      <c r="D22" s="13"/>
      <c r="E22" s="52" t="s">
        <v>81</v>
      </c>
      <c r="F22" s="52">
        <v>0</v>
      </c>
    </row>
    <row r="23" spans="1:6" ht="15.75" customHeight="1">
      <c r="A23" s="16" t="s">
        <v>105</v>
      </c>
      <c r="B23" s="64">
        <f>135.9*12.05*12</f>
        <v>19651.140000000003</v>
      </c>
      <c r="C23" s="75" t="s">
        <v>118</v>
      </c>
      <c r="D23" s="13"/>
      <c r="E23" s="52" t="s">
        <v>82</v>
      </c>
      <c r="F23" s="52">
        <v>546.75</v>
      </c>
    </row>
    <row r="24" spans="1:6" ht="32.25" customHeight="1">
      <c r="A24" s="16" t="s">
        <v>106</v>
      </c>
      <c r="B24" s="65">
        <f>0.88*(178.32*1.18*6+179.77*1.18*6)</f>
        <v>2231.043936</v>
      </c>
      <c r="C24" s="76" t="s">
        <v>119</v>
      </c>
      <c r="D24" s="13"/>
      <c r="E24" s="52" t="s">
        <v>87</v>
      </c>
      <c r="F24" s="52">
        <v>13.87</v>
      </c>
    </row>
    <row r="25" spans="1:6" ht="25.5" customHeight="1">
      <c r="A25" s="16" t="s">
        <v>113</v>
      </c>
      <c r="B25" s="63">
        <f>B26+B27</f>
        <v>21255.690180000001</v>
      </c>
      <c r="C25" s="71"/>
      <c r="D25" s="11"/>
      <c r="E25" s="52" t="s">
        <v>88</v>
      </c>
      <c r="F25" s="52">
        <v>0.64</v>
      </c>
    </row>
    <row r="26" spans="1:6" ht="15.75" customHeight="1">
      <c r="A26" s="16" t="s">
        <v>105</v>
      </c>
      <c r="B26" s="64">
        <f>135.6*12.05*12</f>
        <v>19607.760000000002</v>
      </c>
      <c r="C26" s="75" t="s">
        <v>120</v>
      </c>
      <c r="D26" s="11"/>
      <c r="E26" s="54" t="s">
        <v>89</v>
      </c>
      <c r="F26" s="54"/>
    </row>
    <row r="27" spans="1:6" ht="30" customHeight="1">
      <c r="A27" s="16" t="s">
        <v>106</v>
      </c>
      <c r="B27" s="65">
        <f>0.65*(178.32*1.18*6+179.77*1.18*6)</f>
        <v>1647.9301800000001</v>
      </c>
      <c r="C27" s="76" t="s">
        <v>121</v>
      </c>
      <c r="D27" s="79"/>
      <c r="E27" s="55" t="s">
        <v>90</v>
      </c>
      <c r="F27" s="56">
        <v>0</v>
      </c>
    </row>
    <row r="28" spans="1:6" ht="15">
      <c r="A28" s="69" t="s">
        <v>6</v>
      </c>
      <c r="B28" s="14">
        <f>B13+B15</f>
        <v>829727.29337999993</v>
      </c>
      <c r="C28" s="83"/>
      <c r="D28" s="10"/>
    </row>
    <row r="29" spans="1:6" ht="30">
      <c r="A29" s="15" t="s">
        <v>7</v>
      </c>
      <c r="B29" s="14">
        <f>B30+B31+B32+B33+B34+B35</f>
        <v>8489.76</v>
      </c>
      <c r="C29" s="83"/>
      <c r="D29" s="51"/>
    </row>
    <row r="30" spans="1:6" ht="15">
      <c r="A30" s="16" t="s">
        <v>8</v>
      </c>
      <c r="B30" s="14">
        <f>34.98*12</f>
        <v>419.76</v>
      </c>
      <c r="C30" s="83" t="s">
        <v>9</v>
      </c>
      <c r="D30" s="11"/>
    </row>
    <row r="31" spans="1:6" ht="15">
      <c r="A31" s="16" t="s">
        <v>10</v>
      </c>
      <c r="B31" s="14">
        <f>137.5*12</f>
        <v>1650</v>
      </c>
      <c r="C31" s="83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3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3" t="s">
        <v>13</v>
      </c>
      <c r="D33" s="11"/>
    </row>
    <row r="34" spans="1:4" ht="15" customHeight="1">
      <c r="A34" s="16" t="s">
        <v>14</v>
      </c>
      <c r="B34" s="14">
        <f>150*12</f>
        <v>1800</v>
      </c>
      <c r="C34" s="83" t="s">
        <v>15</v>
      </c>
      <c r="D34" s="11"/>
    </row>
    <row r="35" spans="1:4" ht="15" customHeight="1">
      <c r="A35" s="16" t="s">
        <v>96</v>
      </c>
      <c r="B35" s="66">
        <f>137.5*12</f>
        <v>1650</v>
      </c>
      <c r="C35" s="83" t="s">
        <v>97</v>
      </c>
      <c r="D35" s="11"/>
    </row>
    <row r="36" spans="1:4" ht="15" customHeight="1">
      <c r="A36" s="15" t="s">
        <v>16</v>
      </c>
      <c r="B36" s="14">
        <v>0</v>
      </c>
      <c r="C36" s="83"/>
      <c r="D36" s="11"/>
    </row>
    <row r="37" spans="1:4" ht="15" customHeight="1">
      <c r="A37" s="70" t="s">
        <v>17</v>
      </c>
      <c r="B37" s="17">
        <f>B28+B29+B36</f>
        <v>838217.05337999994</v>
      </c>
      <c r="C37" s="83"/>
      <c r="D37" s="11"/>
    </row>
    <row r="38" spans="1:4" ht="39" customHeight="1">
      <c r="A38" s="70" t="s">
        <v>18</v>
      </c>
      <c r="B38" s="18" t="s">
        <v>2</v>
      </c>
      <c r="C38" s="84" t="s">
        <v>19</v>
      </c>
      <c r="D38" s="19"/>
    </row>
    <row r="39" spans="1:4" ht="16.5" customHeight="1">
      <c r="A39" s="71" t="s">
        <v>20</v>
      </c>
      <c r="B39" s="9"/>
      <c r="C39" s="85"/>
      <c r="D39" s="19"/>
    </row>
    <row r="40" spans="1:4" ht="42" customHeight="1">
      <c r="A40" s="16" t="s">
        <v>21</v>
      </c>
      <c r="B40" s="20">
        <f>(F25*((3221+200)*1.15*1.5*1.083*1.302)+0.084*F21)*12</f>
        <v>65184.522092927997</v>
      </c>
      <c r="C40" s="86" t="s">
        <v>134</v>
      </c>
      <c r="D40" s="10" t="s">
        <v>55</v>
      </c>
    </row>
    <row r="41" spans="1:4" ht="22.5" customHeight="1">
      <c r="A41" s="37" t="s">
        <v>57</v>
      </c>
      <c r="B41" s="38">
        <f>F27*8618.11*12</f>
        <v>0</v>
      </c>
      <c r="C41" s="87" t="s">
        <v>104</v>
      </c>
      <c r="D41" s="19"/>
    </row>
    <row r="42" spans="1:4" ht="39" customHeight="1">
      <c r="A42" s="37" t="s">
        <v>58</v>
      </c>
      <c r="B42" s="38">
        <f>((0*8618.11)+0*10.20529)*12</f>
        <v>0</v>
      </c>
      <c r="C42" s="87" t="s">
        <v>59</v>
      </c>
      <c r="D42" s="10"/>
    </row>
    <row r="43" spans="1:4" ht="55.5" customHeight="1">
      <c r="A43" s="16" t="s">
        <v>22</v>
      </c>
      <c r="B43" s="32">
        <f>(256.74*0.02*F15*6)+(270.7*0.02*F15*6)</f>
        <v>12658.56</v>
      </c>
      <c r="C43" s="83" t="s">
        <v>124</v>
      </c>
      <c r="D43" s="10" t="s">
        <v>51</v>
      </c>
    </row>
    <row r="44" spans="1:4" ht="24.75" customHeight="1">
      <c r="A44" s="16" t="s">
        <v>23</v>
      </c>
      <c r="B44" s="21">
        <f>16.86*F14*2</f>
        <v>2394.12</v>
      </c>
      <c r="C44" s="88" t="s">
        <v>135</v>
      </c>
      <c r="D44" s="22" t="s">
        <v>52</v>
      </c>
    </row>
    <row r="45" spans="1:4" ht="21.75" customHeight="1">
      <c r="A45" s="16" t="s">
        <v>101</v>
      </c>
      <c r="B45" s="80">
        <f>49.72*F22*4</f>
        <v>0</v>
      </c>
      <c r="C45" s="89" t="s">
        <v>108</v>
      </c>
      <c r="D45" s="22" t="s">
        <v>103</v>
      </c>
    </row>
    <row r="46" spans="1:4" ht="54.75" customHeight="1">
      <c r="A46" s="16" t="s">
        <v>24</v>
      </c>
      <c r="B46" s="39">
        <f>((6*0.24*F17)+(6*0.25*F17))</f>
        <v>4166.5680000000002</v>
      </c>
      <c r="C46" s="77" t="s">
        <v>127</v>
      </c>
      <c r="D46" s="22" t="s">
        <v>50</v>
      </c>
    </row>
    <row r="47" spans="1:4" ht="45.75" customHeight="1">
      <c r="A47" s="16" t="s">
        <v>25</v>
      </c>
      <c r="B47" s="39">
        <f>(2*2.22*F17)+(2*2.34*F17)</f>
        <v>12924.864000000001</v>
      </c>
      <c r="C47" s="77" t="s">
        <v>128</v>
      </c>
      <c r="D47" s="22" t="s">
        <v>56</v>
      </c>
    </row>
    <row r="48" spans="1:4" ht="37.5" customHeight="1">
      <c r="A48" s="62" t="s">
        <v>93</v>
      </c>
      <c r="B48" s="67">
        <f>((820.25/1.18*6)+(865.34/1.18*6))*0</f>
        <v>0</v>
      </c>
      <c r="C48" s="78" t="s">
        <v>94</v>
      </c>
      <c r="D48" s="61" t="s">
        <v>95</v>
      </c>
    </row>
    <row r="49" spans="1:5" ht="46.5" customHeight="1">
      <c r="A49" s="41" t="s">
        <v>98</v>
      </c>
      <c r="B49" s="67">
        <f>((617.13/1.18*6)+(651.07/1.18*6))*0</f>
        <v>0</v>
      </c>
      <c r="C49" s="77" t="s">
        <v>99</v>
      </c>
      <c r="D49" s="61" t="s">
        <v>95</v>
      </c>
    </row>
    <row r="50" spans="1:5" ht="57.75" customHeight="1">
      <c r="A50" s="41" t="s">
        <v>26</v>
      </c>
      <c r="B50" s="60">
        <f>(127.11*F15*6*1.65/12)+(144.83*F15*6*1.65/12)</f>
        <v>44870.1</v>
      </c>
      <c r="C50" s="71" t="s">
        <v>125</v>
      </c>
      <c r="D50" s="22" t="s">
        <v>50</v>
      </c>
    </row>
    <row r="51" spans="1:5" ht="36.75" customHeight="1">
      <c r="A51" s="41" t="s">
        <v>27</v>
      </c>
      <c r="B51" s="23">
        <f>6.65*(178.32*6+179.77*6)</f>
        <v>14287.791000000001</v>
      </c>
      <c r="C51" s="76" t="s">
        <v>136</v>
      </c>
      <c r="D51" s="22" t="s">
        <v>50</v>
      </c>
    </row>
    <row r="52" spans="1:5" ht="15" customHeight="1">
      <c r="A52" s="70" t="s">
        <v>28</v>
      </c>
      <c r="B52" s="21">
        <f>SUM(B40:B51)</f>
        <v>156486.525092928</v>
      </c>
      <c r="C52" s="83"/>
      <c r="D52" s="22"/>
      <c r="E52" s="81"/>
    </row>
    <row r="53" spans="1:5" ht="15.75" customHeight="1">
      <c r="A53" s="16" t="s">
        <v>29</v>
      </c>
      <c r="B53" s="21"/>
      <c r="C53" s="83"/>
      <c r="D53" s="22"/>
    </row>
    <row r="54" spans="1:5" ht="39" customHeight="1">
      <c r="A54" s="72" t="s">
        <v>30</v>
      </c>
      <c r="B54" s="40">
        <f>(F24*86.9979+1.53*(B10+B11))*12</f>
        <v>110346.67047600001</v>
      </c>
      <c r="C54" s="90" t="s">
        <v>137</v>
      </c>
      <c r="D54" s="10" t="s">
        <v>51</v>
      </c>
    </row>
    <row r="55" spans="1:5" ht="35.25" customHeight="1">
      <c r="A55" s="16" t="s">
        <v>31</v>
      </c>
      <c r="B55" s="40">
        <f>13.82*F18</f>
        <v>25207.68</v>
      </c>
      <c r="C55" s="90" t="s">
        <v>129</v>
      </c>
      <c r="D55" s="22" t="s">
        <v>53</v>
      </c>
    </row>
    <row r="56" spans="1:5" ht="170.25" customHeight="1">
      <c r="A56" s="31" t="s">
        <v>85</v>
      </c>
      <c r="B56" s="21">
        <f>16.24*(B10+B11)</f>
        <v>84797.159999999989</v>
      </c>
      <c r="C56" s="83" t="s">
        <v>131</v>
      </c>
      <c r="D56" s="10"/>
    </row>
    <row r="57" spans="1:5" ht="42" customHeight="1">
      <c r="A57" s="16" t="s">
        <v>32</v>
      </c>
      <c r="B57" s="21">
        <f>(586.14+223.67/3)*F16/1000</f>
        <v>15745.722959999999</v>
      </c>
      <c r="C57" s="83" t="s">
        <v>126</v>
      </c>
      <c r="D57" s="19" t="s">
        <v>54</v>
      </c>
    </row>
    <row r="58" spans="1:5" ht="41.25" customHeight="1">
      <c r="A58" s="16" t="s">
        <v>33</v>
      </c>
      <c r="B58" s="39">
        <f>(F23*86.9979)+(F23*86.9979/1.302)*0.25</f>
        <v>56699.377905069123</v>
      </c>
      <c r="C58" s="91" t="s">
        <v>130</v>
      </c>
      <c r="D58" s="50"/>
    </row>
    <row r="59" spans="1:5" ht="23.25" customHeight="1">
      <c r="A59" s="70" t="s">
        <v>34</v>
      </c>
      <c r="B59" s="21">
        <f>B54+B55+B56+B57+B117</f>
        <v>236097.23343600001</v>
      </c>
      <c r="C59" s="83"/>
      <c r="D59" s="50"/>
    </row>
    <row r="60" spans="1:5" ht="35.25" customHeight="1">
      <c r="A60" s="16" t="s">
        <v>35</v>
      </c>
      <c r="B60" s="21"/>
      <c r="C60" s="83"/>
      <c r="D60" s="50"/>
    </row>
    <row r="61" spans="1:5" ht="33" customHeight="1">
      <c r="A61" s="73" t="s">
        <v>91</v>
      </c>
      <c r="B61" s="24"/>
      <c r="C61" s="84"/>
      <c r="D61" s="50"/>
    </row>
    <row r="62" spans="1:5" ht="45.75" customHeight="1">
      <c r="A62" s="16" t="s">
        <v>36</v>
      </c>
      <c r="B62" s="12"/>
      <c r="C62" s="92"/>
      <c r="D62" s="19"/>
    </row>
    <row r="63" spans="1:5" ht="31.5" customHeight="1">
      <c r="A63" s="16" t="s">
        <v>37</v>
      </c>
      <c r="B63" s="12"/>
      <c r="C63" s="92"/>
      <c r="D63" s="19"/>
    </row>
    <row r="64" spans="1:5" ht="20.25" customHeight="1">
      <c r="A64" s="16" t="s">
        <v>38</v>
      </c>
      <c r="B64" s="12"/>
      <c r="C64" s="92"/>
      <c r="D64" s="11"/>
    </row>
    <row r="65" spans="1:4" ht="17.25" customHeight="1">
      <c r="A65" s="16" t="s">
        <v>39</v>
      </c>
      <c r="B65" s="12"/>
      <c r="C65" s="92"/>
      <c r="D65" s="11"/>
    </row>
    <row r="66" spans="1:4" ht="35.25" customHeight="1">
      <c r="A66" s="70" t="s">
        <v>40</v>
      </c>
      <c r="B66" s="12">
        <f>B61+B63</f>
        <v>0</v>
      </c>
      <c r="C66" s="92"/>
      <c r="D66" s="11"/>
    </row>
    <row r="67" spans="1:4" ht="19.5" customHeight="1">
      <c r="A67" s="16" t="s">
        <v>41</v>
      </c>
      <c r="B67" s="12">
        <f>2.679*(B10+B11)</f>
        <v>13988.398499999999</v>
      </c>
      <c r="C67" s="92" t="s">
        <v>132</v>
      </c>
      <c r="D67" s="22" t="s">
        <v>50</v>
      </c>
    </row>
    <row r="68" spans="1:4" ht="18" customHeight="1">
      <c r="A68" s="74" t="s">
        <v>42</v>
      </c>
      <c r="B68" s="25">
        <f>1.29*(B10+B11)</f>
        <v>6735.7350000000006</v>
      </c>
      <c r="C68" s="93" t="s">
        <v>133</v>
      </c>
      <c r="D68" s="11"/>
    </row>
    <row r="69" spans="1:4" ht="30" customHeight="1">
      <c r="A69" s="41" t="s">
        <v>60</v>
      </c>
      <c r="B69" s="42">
        <f>(B52+B59)*0.212</f>
        <v>83227.756808132748</v>
      </c>
      <c r="C69" s="94" t="s">
        <v>61</v>
      </c>
      <c r="D69" s="43"/>
    </row>
    <row r="70" spans="1:4" ht="44.25" customHeight="1">
      <c r="A70" s="44" t="s">
        <v>62</v>
      </c>
      <c r="B70" s="45">
        <f>(B52+B59+B66+B69)*1.03/(1-0.134*1.03)*0.134</f>
        <v>76186.808680968403</v>
      </c>
      <c r="C70" s="95" t="s">
        <v>63</v>
      </c>
      <c r="D70" s="46" t="s">
        <v>64</v>
      </c>
    </row>
    <row r="71" spans="1:4" ht="19.5" customHeight="1">
      <c r="A71" s="70" t="s">
        <v>86</v>
      </c>
      <c r="B71" s="12">
        <f>B67+B67+B69+B70</f>
        <v>187391.36248910113</v>
      </c>
      <c r="C71" s="92"/>
      <c r="D71" s="11"/>
    </row>
    <row r="72" spans="1:4" ht="19.5" customHeight="1">
      <c r="A72" s="16" t="s">
        <v>43</v>
      </c>
      <c r="B72" s="12">
        <f>(B52+B59+B66+B71)*3%</f>
        <v>17399.253630540876</v>
      </c>
      <c r="C72" s="92"/>
      <c r="D72" s="10"/>
    </row>
    <row r="73" spans="1:4" ht="17.25" customHeight="1">
      <c r="A73" s="70" t="s">
        <v>17</v>
      </c>
      <c r="B73" s="26">
        <f>B52+B59+B66+B71+B72</f>
        <v>597374.37464857008</v>
      </c>
      <c r="C73" s="96"/>
      <c r="D73" s="10"/>
    </row>
    <row r="74" spans="1:4" ht="19.5" customHeight="1">
      <c r="A74" s="33" t="s">
        <v>71</v>
      </c>
      <c r="B74" s="34">
        <f>B73*1.18</f>
        <v>704901.76208531263</v>
      </c>
      <c r="C74" s="97"/>
      <c r="D74" s="10"/>
    </row>
    <row r="75" spans="1:4" ht="18" customHeight="1">
      <c r="A75" s="16"/>
      <c r="B75" s="27">
        <f>B37-B74</f>
        <v>133315.29129468731</v>
      </c>
      <c r="C75" s="98"/>
      <c r="D75" s="51"/>
    </row>
    <row r="76" spans="1:4" ht="45.75" customHeight="1">
      <c r="A76" s="47" t="s">
        <v>65</v>
      </c>
      <c r="B76" s="48">
        <f>B74/(B10+B11)/12</f>
        <v>11.249988223136912</v>
      </c>
      <c r="C76" s="99" t="s">
        <v>66</v>
      </c>
      <c r="D76" s="43"/>
    </row>
    <row r="77" spans="1:4" ht="16.5" customHeight="1">
      <c r="A77" s="28"/>
      <c r="B77" s="29"/>
      <c r="C77" s="30"/>
      <c r="D77" s="29"/>
    </row>
    <row r="78" spans="1:4" ht="51" customHeight="1">
      <c r="A78" s="29"/>
      <c r="B78" s="29"/>
      <c r="C78" s="29"/>
      <c r="D78" s="29"/>
    </row>
    <row r="79" spans="1:4" ht="17.25" customHeight="1">
      <c r="A79" s="29"/>
      <c r="B79" s="29"/>
      <c r="C79" s="29"/>
      <c r="D79" s="29"/>
    </row>
    <row r="80" spans="1:4" ht="17.25" customHeight="1">
      <c r="A80" s="100" t="s">
        <v>67</v>
      </c>
      <c r="B80" s="100"/>
      <c r="C80" s="100"/>
    </row>
    <row r="81" spans="1:3" ht="17.25" customHeight="1">
      <c r="A81" s="101" t="s">
        <v>68</v>
      </c>
      <c r="B81" s="101"/>
      <c r="C81" s="101"/>
    </row>
    <row r="82" spans="1:3" ht="51" customHeight="1">
      <c r="A82" s="102" t="s">
        <v>69</v>
      </c>
      <c r="B82" s="102"/>
      <c r="C82" s="102"/>
    </row>
    <row r="83" spans="1:3" ht="17.25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7"/>
      <c r="B85" s="58"/>
      <c r="C85" s="59"/>
    </row>
    <row r="86" spans="1:3" ht="40.9" customHeight="1">
      <c r="A86" s="57" t="s">
        <v>44</v>
      </c>
      <c r="B86" s="58"/>
      <c r="C86" s="59" t="s">
        <v>70</v>
      </c>
    </row>
  </sheetData>
  <mergeCells count="5">
    <mergeCell ref="A6:D6"/>
    <mergeCell ref="A7:C7"/>
    <mergeCell ref="A80:C80"/>
    <mergeCell ref="A81:C81"/>
    <mergeCell ref="A82:C8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Ульяновых 46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2015-05-12T03:21:35Z</dcterms:modified>
</cp:coreProperties>
</file>