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Интернациональная,23" sheetId="1" r:id="rId1"/>
    <sheet name="Приложение к расчетам" sheetId="2" r:id="rId2"/>
    <sheet name="Лист2" sheetId="3" r:id="rId3"/>
    <sheet name="Лист1" sheetId="4" r:id="rId4"/>
    <sheet name="Лист3" sheetId="5" r:id="rId5"/>
  </sheets>
  <calcPr calcId="145621"/>
  <fileRecoveryPr dataExtractLoad="1"/>
</workbook>
</file>

<file path=xl/calcChain.xml><?xml version="1.0" encoding="utf-8"?>
<calcChain xmlns="http://schemas.openxmlformats.org/spreadsheetml/2006/main">
  <c r="B14" i="1" l="1"/>
  <c r="B23" i="1" s="1"/>
  <c r="B32" i="1" s="1"/>
  <c r="B15" i="1"/>
  <c r="B16" i="1"/>
  <c r="B25" i="1"/>
  <c r="B26" i="1"/>
  <c r="B27" i="1"/>
  <c r="B28" i="1"/>
  <c r="B24" i="1" s="1"/>
  <c r="B29" i="1"/>
  <c r="B30" i="1"/>
  <c r="B35" i="1"/>
  <c r="B50" i="1" s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2" i="1"/>
  <c r="B53" i="1"/>
  <c r="B56" i="1"/>
  <c r="B58" i="1"/>
  <c r="B59" i="1"/>
  <c r="B67" i="1"/>
  <c r="B68" i="1"/>
  <c r="B69" i="1"/>
  <c r="B71" i="1"/>
  <c r="H5" i="2"/>
  <c r="I5" i="2" s="1"/>
  <c r="J5" i="2" s="1"/>
  <c r="K5" i="2" s="1"/>
  <c r="R5" i="2" s="1"/>
  <c r="L5" i="2"/>
  <c r="O5" i="2" s="1"/>
  <c r="P5" i="2" s="1"/>
  <c r="Q5" i="2" s="1"/>
  <c r="M5" i="2"/>
  <c r="N5" i="2"/>
  <c r="T5" i="2"/>
  <c r="S5" i="2" s="1"/>
  <c r="H6" i="2"/>
  <c r="I6" i="2"/>
  <c r="J6" i="2"/>
  <c r="K6" i="2"/>
  <c r="L6" i="2"/>
  <c r="M6" i="2"/>
  <c r="N6" i="2"/>
  <c r="O6" i="2"/>
  <c r="P6" i="2" s="1"/>
  <c r="Q6" i="2" s="1"/>
  <c r="S6" i="2"/>
  <c r="T6" i="2"/>
  <c r="H7" i="2"/>
  <c r="I7" i="2"/>
  <c r="J7" i="2"/>
  <c r="K7" i="2" s="1"/>
  <c r="L7" i="2"/>
  <c r="O7" i="2" s="1"/>
  <c r="P7" i="2" s="1"/>
  <c r="Q7" i="2" s="1"/>
  <c r="M7" i="2"/>
  <c r="N7" i="2"/>
  <c r="T7" i="2"/>
  <c r="S7" i="2" s="1"/>
  <c r="H8" i="2"/>
  <c r="I8" i="2"/>
  <c r="J8" i="2" s="1"/>
  <c r="K8" i="2" s="1"/>
  <c r="R8" i="2" s="1"/>
  <c r="L8" i="2"/>
  <c r="O8" i="2" s="1"/>
  <c r="P8" i="2" s="1"/>
  <c r="Q8" i="2" s="1"/>
  <c r="M8" i="2"/>
  <c r="N8" i="2"/>
  <c r="T8" i="2"/>
  <c r="S8" i="2" s="1"/>
  <c r="H9" i="2"/>
  <c r="I9" i="2" s="1"/>
  <c r="J9" i="2" s="1"/>
  <c r="K9" i="2" s="1"/>
  <c r="R9" i="2" s="1"/>
  <c r="L9" i="2"/>
  <c r="O9" i="2" s="1"/>
  <c r="P9" i="2" s="1"/>
  <c r="Q9" i="2" s="1"/>
  <c r="M9" i="2"/>
  <c r="N9" i="2"/>
  <c r="T9" i="2"/>
  <c r="S9" i="2" s="1"/>
  <c r="H10" i="2"/>
  <c r="I10" i="2"/>
  <c r="J10" i="2"/>
  <c r="K10" i="2"/>
  <c r="L10" i="2"/>
  <c r="M10" i="2"/>
  <c r="N10" i="2"/>
  <c r="O10" i="2"/>
  <c r="P10" i="2" s="1"/>
  <c r="Q10" i="2" s="1"/>
  <c r="S10" i="2"/>
  <c r="T10" i="2"/>
  <c r="H11" i="2"/>
  <c r="I11" i="2"/>
  <c r="J11" i="2"/>
  <c r="K11" i="2" s="1"/>
  <c r="L11" i="2"/>
  <c r="O11" i="2" s="1"/>
  <c r="P11" i="2" s="1"/>
  <c r="Q11" i="2" s="1"/>
  <c r="M11" i="2"/>
  <c r="N11" i="2"/>
  <c r="T11" i="2"/>
  <c r="S11" i="2" s="1"/>
  <c r="H12" i="2"/>
  <c r="I12" i="2"/>
  <c r="J12" i="2" s="1"/>
  <c r="K12" i="2" s="1"/>
  <c r="R12" i="2" s="1"/>
  <c r="L12" i="2"/>
  <c r="O12" i="2" s="1"/>
  <c r="P12" i="2" s="1"/>
  <c r="Q12" i="2" s="1"/>
  <c r="M12" i="2"/>
  <c r="N12" i="2"/>
  <c r="T12" i="2"/>
  <c r="S12" i="2" s="1"/>
  <c r="H13" i="2"/>
  <c r="I13" i="2" s="1"/>
  <c r="J13" i="2" s="1"/>
  <c r="K13" i="2" s="1"/>
  <c r="R13" i="2" s="1"/>
  <c r="L13" i="2"/>
  <c r="O13" i="2" s="1"/>
  <c r="P13" i="2" s="1"/>
  <c r="Q13" i="2" s="1"/>
  <c r="M13" i="2"/>
  <c r="N13" i="2"/>
  <c r="T13" i="2"/>
  <c r="S13" i="2" s="1"/>
  <c r="H14" i="2"/>
  <c r="I14" i="2"/>
  <c r="J14" i="2"/>
  <c r="K14" i="2"/>
  <c r="L14" i="2"/>
  <c r="M14" i="2"/>
  <c r="N14" i="2"/>
  <c r="O14" i="2"/>
  <c r="P14" i="2" s="1"/>
  <c r="Q14" i="2" s="1"/>
  <c r="S14" i="2"/>
  <c r="T14" i="2"/>
  <c r="R11" i="2" l="1"/>
  <c r="R7" i="2"/>
  <c r="R14" i="2"/>
  <c r="R10" i="2"/>
  <c r="R6" i="2"/>
  <c r="B70" i="1"/>
  <c r="B72" i="1" l="1"/>
  <c r="B73" i="1" s="1"/>
  <c r="B74" i="1" l="1"/>
  <c r="B75" i="1" s="1"/>
  <c r="B76" i="1" s="1"/>
  <c r="B77" i="1" s="1"/>
</calcChain>
</file>

<file path=xl/sharedStrings.xml><?xml version="1.0" encoding="utf-8"?>
<sst xmlns="http://schemas.openxmlformats.org/spreadsheetml/2006/main" count="228" uniqueCount="206">
  <si>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</si>
  <si>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</si>
  <si>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</si>
  <si>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</si>
  <si>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 на 2014г,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</si>
  <si>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23,  ул. Интернациональная.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</si>
  <si>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</si>
  <si>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</si>
  <si>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</si>
  <si>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</si>
  <si>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</si>
  <si>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</si>
  <si>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</si>
  <si>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</si>
  <si>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</si>
  <si>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1988,3кв.м.*13,05руб.*12 мес.</t>
  </si>
  <si>
    <t>1 раз в мес.</t>
  </si>
  <si>
    <t>к-во польз. Усл.</t>
  </si>
  <si>
    <t>в т. ч. вывоз мусора (население)</t>
  </si>
  <si>
    <t>((113,78руб./чел.в мес.*102чел.*6мес.*1,65/12)+(127,20 руб./чел.в мес.*102чел.*6мес.*1,65/12))*1,18</t>
  </si>
  <si>
    <t>Объем</t>
  </si>
  <si>
    <t>2. Начисление по нежилым помещениям</t>
  </si>
  <si>
    <t>Пл. подвала</t>
  </si>
  <si>
    <t>Пл. кровли</t>
  </si>
  <si>
    <t>Пл. асфальта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</si>
  <si>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</si>
  <si>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</si>
  <si>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</si>
  <si>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</si>
  <si>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</si>
  <si>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</si>
  <si>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</si>
  <si>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</si>
  <si>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</si>
  <si>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</si>
  <si>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</si>
  <si>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</si>
  <si>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</si>
  <si>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</si>
  <si>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</si>
  <si>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</si>
  <si>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</si>
  <si>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</si>
  <si>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</si>
  <si>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</si>
  <si>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</si>
  <si>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</si>
  <si>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</si>
  <si>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</si>
  <si>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</si>
  <si>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</si>
  <si>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</si>
  <si>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</si>
  <si>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</si>
  <si>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</si>
  <si>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</si>
  <si>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(0,36чел.*((3059+200)*1,15*1,5*1,083*1,302)+0,053руб./кв.м.асф.покр.*882,9кв.м.)*12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</si>
  <si>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</si>
  <si>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</si>
  <si>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</si>
  <si>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</si>
  <si>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</si>
  <si>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</si>
  <si>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</si>
  <si>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(266,83руб./куб.м.*0,02куб.м.*102чел.)*12</t>
  </si>
  <si>
    <t>по графику</t>
  </si>
  <si>
    <t>-очистка вентканалов</t>
  </si>
  <si>
    <t>(16,21руб.*48вентк.)+(17,07руб.*48вентк.)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</si>
  <si>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</si>
  <si>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</si>
  <si>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</si>
  <si>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</si>
  <si>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</si>
  <si>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руб./мес.*698кв.м.)+(6раз в год*0,22руб.в мес.*698кв.м.)</t>
  </si>
  <si>
    <t>.-дезинсекция</t>
  </si>
  <si>
    <t>(2 раза в год*0,62руб./мес.*698кв.м.)+(2раза в год*0,65руб./мес.*698кв.м.)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</si>
  <si>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</si>
  <si>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</si>
  <si>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</si>
  <si>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</si>
  <si>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</si>
  <si>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.-т/о ВДГО</t>
  </si>
  <si>
    <t>2865,63 руб./год./1,18</t>
  </si>
  <si>
    <t>1 раз в год</t>
  </si>
  <si>
    <t>.-комплексное обслуживание лифтов</t>
  </si>
  <si>
    <t>(4926,77руб./мес.*12 мес.*2 лифта)</t>
  </si>
  <si>
    <t>.-освидетельствование лифтов</t>
  </si>
  <si>
    <t>4190 руб./год*2л./1,18</t>
  </si>
  <si>
    <t>.-вывоз мусора (население)САХ</t>
  </si>
  <si>
    <t>((113,78руб./чел.в мес.*102чел.*6мес.*1,65/12)+(127,20 руб./чел.в мес.*102чел.*6мес.*1,65/12))</t>
  </si>
  <si>
    <t>.-вывоз мусора (арендаторы)</t>
  </si>
  <si>
    <t>0куб.м.*176,76руб.*12мес.</t>
  </si>
  <si>
    <t>Всего по п.1:</t>
  </si>
  <si>
    <t>2.Техническая эксплуатация</t>
  </si>
  <si>
    <t>.-профосмотры:в т.ч.сезонные осмотры</t>
  </si>
  <si>
    <t>(6,8ч/час*82,67руб./час.+0,518руб./м.кв.*(1988,3кв.м.)*12мес.</t>
  </si>
  <si>
    <t>-очистка кровли от снега</t>
  </si>
  <si>
    <t>14,86руб./кв.м.*1048кв.м.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</si>
  <si>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</si>
  <si>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</si>
  <si>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</si>
  <si>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</si>
  <si>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(560,69руб./куб.м.+208,49руб./куб.м./3)*7908/1000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</si>
  <si>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</si>
  <si>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</si>
  <si>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</si>
  <si>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(310,48ч/час*82,67руб./час)+(310,48ч/час*82,67руб./час/1,302)*25%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</si>
  <si>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</si>
  <si>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</si>
  <si>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</si>
  <si>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</si>
  <si>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</si>
  <si>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</si>
  <si>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</si>
  <si>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</si>
  <si>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</si>
  <si>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</si>
  <si>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руб./кв.м.*(1988,3)кв.м.</t>
  </si>
  <si>
    <t>5.ОДС</t>
  </si>
  <si>
    <t>1,28руб./кв.м*(1988,3)кв.м.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</si>
  <si>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</si>
  <si>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</si>
  <si>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</si>
  <si>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1,16руб./кв.м.*1988,3кв.м.*12мес.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</si>
  <si>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</si>
  <si>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</si>
  <si>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</si>
  <si>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</si>
  <si>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</si>
  <si>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</si>
  <si>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</si>
  <si>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</si>
  <si>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</si>
  <si>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</si>
  <si>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</si>
  <si>
    <t>Расчет расходов по статье "Услуги по начислению и сбору платежей за ЖКУ" на 2014 год</t>
  </si>
  <si>
    <t>руб. без НДС</t>
  </si>
  <si>
    <t>№ п/п</t>
  </si>
  <si>
    <t>Адрес дома</t>
  </si>
  <si>
    <t>Общая площадь жилых помещений, кв.м</t>
  </si>
  <si>
    <t>Количество лицевых счетов</t>
  </si>
  <si>
    <t>Доля лицевых счетов, по которым выданы справки о регистрации</t>
  </si>
  <si>
    <t>Доля лицевых счетов, по которым производился регистрационный учет граждан</t>
  </si>
  <si>
    <t>Услуги организаций по приему платежей</t>
  </si>
  <si>
    <t>Услуги ЕРКЦ</t>
  </si>
  <si>
    <t>Итого услуги по начислению и сбору</t>
  </si>
  <si>
    <t>Начисление за ЖКУ по 1 квитанции за октябрь 2013г.</t>
  </si>
  <si>
    <t>Поступление за месяц с учетом среднегородского % сбора</t>
  </si>
  <si>
    <t>Услуги организаций по приему платежей (0,8%)</t>
  </si>
  <si>
    <t>Услуги организаций по приему платежей в расчете на 1 кв.м</t>
  </si>
  <si>
    <t>Услуги организаций по приему платежей в расчете на 1 кв.м с ростом на 10%%</t>
  </si>
  <si>
    <t>Выставление платежного документа</t>
  </si>
  <si>
    <t>Выдача справок о регистрации</t>
  </si>
  <si>
    <t>Рег.учет граждан</t>
  </si>
  <si>
    <t>Итого услуги</t>
  </si>
  <si>
    <t>Итого услуги в расчете на 1 кв.м</t>
  </si>
  <si>
    <t>Итого услуги в расчете на 1 кв.м с учетом роста на 10%</t>
  </si>
  <si>
    <t>Кольцевая 6</t>
  </si>
  <si>
    <t>Интернациональная 23</t>
  </si>
  <si>
    <t>Интернациональная 25</t>
  </si>
  <si>
    <t>Интернациональная 27</t>
  </si>
  <si>
    <t>Интернациональная 29</t>
  </si>
  <si>
    <t>Интернациональная 31</t>
  </si>
  <si>
    <t>На 22.01.2014г.</t>
  </si>
  <si>
    <t>Сметы по домам готовые:</t>
  </si>
  <si>
    <t>№ ЖЭУ</t>
  </si>
  <si>
    <t>Сметы по домам 1 очередь:</t>
  </si>
  <si>
    <t>Первомайская, 15</t>
  </si>
  <si>
    <t>Ш. Руставели, 22/2</t>
  </si>
  <si>
    <t>Конституции, 1</t>
  </si>
  <si>
    <t>Л. Толстого, 1</t>
  </si>
  <si>
    <t>Первомайская, 5</t>
  </si>
  <si>
    <t>Первомайская, 24-264-04-11</t>
  </si>
  <si>
    <t>Конституции, 2</t>
  </si>
  <si>
    <t>Калинина, 7</t>
  </si>
  <si>
    <t>Кольцевая, 24</t>
  </si>
  <si>
    <t>Блюхера, 4/1</t>
  </si>
  <si>
    <t>Конституции, 9</t>
  </si>
  <si>
    <t>Архитектурная, 5А</t>
  </si>
  <si>
    <t>М. Горького, 38</t>
  </si>
  <si>
    <t>Блюхера, 2/1</t>
  </si>
  <si>
    <t>Кольцевая, 49</t>
  </si>
  <si>
    <t>А. Невского, 38</t>
  </si>
  <si>
    <t>Комарова, 38А</t>
  </si>
  <si>
    <t>Коммунаров, 69</t>
  </si>
  <si>
    <t xml:space="preserve"> Конституции, 11</t>
  </si>
  <si>
    <t>Мира, 15</t>
  </si>
  <si>
    <t>Первомайская, 10</t>
  </si>
  <si>
    <t>Комарова, 36</t>
  </si>
  <si>
    <t>Первомайская, 9</t>
  </si>
  <si>
    <t>Кольцевая, 43</t>
  </si>
  <si>
    <t>Комарова, 14</t>
  </si>
  <si>
    <t>Пр. Октября, 89/3</t>
  </si>
  <si>
    <t>Пр. Октября, 87/2</t>
  </si>
  <si>
    <t>Пр. Октября, 146</t>
  </si>
  <si>
    <t>Кольцевая, 45</t>
  </si>
  <si>
    <t>Блюхера, 36/1</t>
  </si>
  <si>
    <t>Калинина, 4</t>
  </si>
  <si>
    <t>Конституции, 12-260-09-77</t>
  </si>
  <si>
    <t>Коммунаров, 59/1-283-24-29</t>
  </si>
  <si>
    <t>Д. Юлтыя, 4</t>
  </si>
  <si>
    <t>Ш. Руставели, 35-89174368242</t>
  </si>
  <si>
    <t>Комарова, 18/1</t>
  </si>
  <si>
    <t>Кольцевая, 34А</t>
  </si>
  <si>
    <t>Ульяновых, 21</t>
  </si>
  <si>
    <t>Пр. Октября, 107/2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</si>
</sst>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sqref="A1:H86"/>
    </sheetView>
  </sheetViews>
  <sheetFormatPr defaultRowHeight="15" x14ac:dyDescent="0.25"/>
  <cols>
    <col min="1" max="1" width="51.7109375" customWidth="1"/>
    <col min="2" max="2" width="22.42578125" customWidth="1"/>
    <col min="3" max="3" width="91.5703125" customWidth="1"/>
    <col min="4" max="4" width="20.140625" customWidth="1"/>
    <col min="5" max="5" width="30.42578125" customWidth="1"/>
  </cols>
  <sheetData>
    <row r="1" spans="1:8" x14ac:dyDescent="0.25">
      <c r="A1" s="1"/>
      <c r="B1" s="1"/>
      <c r="C1" s="1" t="s">
        <v>0</v>
      </c>
      <c r="D1" s="1"/>
      <c r="E1" s="1"/>
      <c r="F1" s="1"/>
      <c r="G1" s="1"/>
      <c r="H1" s="1"/>
    </row>
    <row r="2" spans="1:8" x14ac:dyDescent="0.25">
      <c r="A2" s="1"/>
      <c r="B2" s="1"/>
      <c r="C2" s="1" t="s">
        <v>1</v>
      </c>
      <c r="D2" s="1"/>
      <c r="E2" s="1"/>
      <c r="F2" s="1"/>
      <c r="G2" s="1"/>
      <c r="H2" s="1"/>
    </row>
    <row r="3" spans="1:8" x14ac:dyDescent="0.25">
      <c r="A3" s="1"/>
      <c r="B3" s="1"/>
      <c r="C3" s="1" t="s">
        <v>2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 t="s">
        <v>3</v>
      </c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 t="s">
        <v>4</v>
      </c>
      <c r="B7" s="1"/>
      <c r="C7" s="1"/>
      <c r="D7" s="1"/>
      <c r="E7" s="1"/>
      <c r="F7" s="1"/>
      <c r="G7" s="1"/>
      <c r="H7" s="1"/>
    </row>
    <row r="8" spans="1:8" x14ac:dyDescent="0.25">
      <c r="A8" s="1" t="s">
        <v>5</v>
      </c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 t="s">
        <v>6</v>
      </c>
      <c r="B11" s="1">
        <v>1988.3</v>
      </c>
      <c r="C11" s="1" t="s">
        <v>7</v>
      </c>
      <c r="D11" s="1"/>
      <c r="E11" s="1"/>
      <c r="F11" s="1"/>
      <c r="G11" s="1"/>
      <c r="H11" s="1"/>
    </row>
    <row r="12" spans="1:8" x14ac:dyDescent="0.25">
      <c r="A12" s="1" t="s">
        <v>8</v>
      </c>
      <c r="B12" s="1">
        <v>0</v>
      </c>
      <c r="C12" s="1"/>
      <c r="D12" s="1"/>
      <c r="E12" s="1"/>
      <c r="F12" s="1"/>
      <c r="G12" s="1"/>
      <c r="H12" s="1"/>
    </row>
    <row r="13" spans="1:8" x14ac:dyDescent="0.25">
      <c r="A13" s="1" t="s">
        <v>9</v>
      </c>
      <c r="B13" s="1" t="s">
        <v>10</v>
      </c>
      <c r="C13" s="1" t="s">
        <v>11</v>
      </c>
      <c r="D13" s="1" t="s">
        <v>12</v>
      </c>
      <c r="E13" s="1" t="s">
        <v>13</v>
      </c>
      <c r="F13" s="1">
        <v>48</v>
      </c>
      <c r="G13" s="1">
        <v>13.05</v>
      </c>
      <c r="H13" s="1"/>
    </row>
    <row r="14" spans="1:8" x14ac:dyDescent="0.25">
      <c r="A14" s="1" t="s">
        <v>14</v>
      </c>
      <c r="B14" s="1">
        <f>B11*G13*12</f>
        <v>311367.78000000003</v>
      </c>
      <c r="C14" s="1" t="s">
        <v>15</v>
      </c>
      <c r="D14" s="1" t="s">
        <v>16</v>
      </c>
      <c r="E14" s="1" t="s">
        <v>17</v>
      </c>
      <c r="F14" s="1">
        <v>102</v>
      </c>
      <c r="G14" s="1"/>
      <c r="H14" s="1"/>
    </row>
    <row r="15" spans="1:8" x14ac:dyDescent="0.25">
      <c r="A15" s="1" t="s">
        <v>18</v>
      </c>
      <c r="B15" s="1">
        <f>((113.78*1.65/12*F14*6)+(127.2*1.65/12*F14*6))*1.18</f>
        <v>23928.591059999995</v>
      </c>
      <c r="C15" s="1" t="s">
        <v>19</v>
      </c>
      <c r="D15" s="1"/>
      <c r="E15" s="1" t="s">
        <v>20</v>
      </c>
      <c r="F15" s="1">
        <v>7908</v>
      </c>
      <c r="G15" s="1"/>
      <c r="H15" s="1"/>
    </row>
    <row r="16" spans="1:8" x14ac:dyDescent="0.25">
      <c r="A16" s="1" t="s">
        <v>21</v>
      </c>
      <c r="B16" s="1">
        <f>B17+B20</f>
        <v>0</v>
      </c>
      <c r="C16" s="1"/>
      <c r="D16" s="1" t="s">
        <v>16</v>
      </c>
      <c r="E16" s="1" t="s">
        <v>22</v>
      </c>
      <c r="F16" s="1">
        <v>698</v>
      </c>
      <c r="G16" s="1"/>
      <c r="H16" s="1"/>
    </row>
    <row r="17" spans="1:8" x14ac:dyDescent="0.25">
      <c r="A17" s="1"/>
      <c r="B17" s="1"/>
      <c r="C17" s="1"/>
      <c r="D17" s="1"/>
      <c r="E17" s="1" t="s">
        <v>23</v>
      </c>
      <c r="F17" s="1">
        <v>1048</v>
      </c>
      <c r="G17" s="1"/>
      <c r="H17" s="1"/>
    </row>
    <row r="18" spans="1:8" x14ac:dyDescent="0.25">
      <c r="A18" s="1"/>
      <c r="B18" s="1"/>
      <c r="C18" s="1"/>
      <c r="D18" s="1"/>
      <c r="E18" s="1" t="s">
        <v>24</v>
      </c>
      <c r="F18" s="1">
        <v>882.9</v>
      </c>
      <c r="G18" s="1"/>
      <c r="H18" s="1"/>
    </row>
    <row r="19" spans="1:8" x14ac:dyDescent="0.25">
      <c r="A19" s="1"/>
      <c r="B19" s="1"/>
      <c r="C19" s="1"/>
      <c r="D19" s="1"/>
      <c r="E19" s="1" t="s">
        <v>25</v>
      </c>
      <c r="F19" s="1">
        <v>48</v>
      </c>
      <c r="G19" s="1"/>
      <c r="H19" s="1"/>
    </row>
    <row r="20" spans="1:8" x14ac:dyDescent="0.25">
      <c r="A20" s="1"/>
      <c r="B20" s="1"/>
      <c r="C20" s="1"/>
      <c r="D20" s="1"/>
      <c r="E20" s="1" t="s">
        <v>26</v>
      </c>
      <c r="F20" s="1">
        <v>6.8</v>
      </c>
      <c r="G20" s="1"/>
      <c r="H20" s="1"/>
    </row>
    <row r="21" spans="1:8" x14ac:dyDescent="0.25">
      <c r="A21" s="1"/>
      <c r="B21" s="1"/>
      <c r="C21" s="1"/>
      <c r="D21" s="1"/>
      <c r="E21" s="1" t="s">
        <v>27</v>
      </c>
      <c r="F21" s="1">
        <v>0</v>
      </c>
      <c r="G21" s="1"/>
      <c r="H21" s="1"/>
    </row>
    <row r="22" spans="1:8" x14ac:dyDescent="0.25">
      <c r="A22" s="1"/>
      <c r="B22" s="1"/>
      <c r="C22" s="1"/>
      <c r="D22" s="1"/>
      <c r="E22" s="1" t="s">
        <v>28</v>
      </c>
      <c r="F22" s="1">
        <v>0.36</v>
      </c>
      <c r="G22" s="1"/>
      <c r="H22" s="1"/>
    </row>
    <row r="23" spans="1:8" x14ac:dyDescent="0.25">
      <c r="A23" s="1" t="s">
        <v>29</v>
      </c>
      <c r="B23" s="1">
        <f>B16+B14</f>
        <v>311367.78000000003</v>
      </c>
      <c r="C23" s="1"/>
      <c r="D23" s="1"/>
      <c r="E23" s="1" t="s">
        <v>30</v>
      </c>
      <c r="F23" s="1">
        <v>310.48</v>
      </c>
      <c r="G23" s="1"/>
      <c r="H23" s="1"/>
    </row>
    <row r="24" spans="1:8" x14ac:dyDescent="0.25">
      <c r="A24" s="1" t="s">
        <v>31</v>
      </c>
      <c r="B24" s="1">
        <f>B25+B26+B27+B28+B29+B30</f>
        <v>3389.76</v>
      </c>
      <c r="C24" s="1"/>
      <c r="D24" s="1" t="s">
        <v>16</v>
      </c>
      <c r="E24" s="1"/>
      <c r="F24" s="1">
        <v>1.1599999999999999</v>
      </c>
      <c r="G24" s="1"/>
      <c r="H24" s="1"/>
    </row>
    <row r="25" spans="1:8" x14ac:dyDescent="0.25">
      <c r="A25" s="1" t="s">
        <v>32</v>
      </c>
      <c r="B25" s="1">
        <f>34.98*12</f>
        <v>419.76</v>
      </c>
      <c r="C25" s="1" t="s">
        <v>33</v>
      </c>
      <c r="D25" s="1"/>
      <c r="E25" s="1" t="s">
        <v>34</v>
      </c>
      <c r="F25" s="1">
        <v>0</v>
      </c>
      <c r="G25" s="1"/>
      <c r="H25" s="1"/>
    </row>
    <row r="26" spans="1:8" x14ac:dyDescent="0.25">
      <c r="A26" s="1" t="s">
        <v>35</v>
      </c>
      <c r="B26" s="1">
        <f>0*12</f>
        <v>0</v>
      </c>
      <c r="C26" s="1" t="s">
        <v>36</v>
      </c>
      <c r="D26" s="1"/>
      <c r="E26" s="1" t="s">
        <v>37</v>
      </c>
      <c r="F26" s="1">
        <v>0</v>
      </c>
      <c r="G26" s="1"/>
      <c r="H26" s="1"/>
    </row>
    <row r="27" spans="1:8" x14ac:dyDescent="0.25">
      <c r="A27" s="1" t="s">
        <v>38</v>
      </c>
      <c r="B27" s="1">
        <f>123.75*12</f>
        <v>1485</v>
      </c>
      <c r="C27" s="1" t="s">
        <v>39</v>
      </c>
      <c r="D27" s="1"/>
      <c r="E27" s="1" t="s">
        <v>40</v>
      </c>
      <c r="F27" s="1">
        <v>0</v>
      </c>
      <c r="G27" s="1"/>
      <c r="H27" s="1"/>
    </row>
    <row r="28" spans="1:8" x14ac:dyDescent="0.25">
      <c r="A28" s="1" t="s">
        <v>41</v>
      </c>
      <c r="B28" s="1">
        <f>0*12</f>
        <v>0</v>
      </c>
      <c r="C28" s="1" t="s">
        <v>42</v>
      </c>
      <c r="D28" s="1"/>
      <c r="E28" s="1" t="s">
        <v>43</v>
      </c>
      <c r="F28" s="1">
        <v>729.73</v>
      </c>
      <c r="G28" s="1">
        <v>580.44000000000005</v>
      </c>
      <c r="H28" s="1"/>
    </row>
    <row r="29" spans="1:8" x14ac:dyDescent="0.25">
      <c r="A29" s="1" t="s">
        <v>44</v>
      </c>
      <c r="B29" s="1">
        <f>123.75*12</f>
        <v>1485</v>
      </c>
      <c r="C29" s="1" t="s">
        <v>39</v>
      </c>
      <c r="D29" s="1"/>
      <c r="E29" s="1" t="s">
        <v>45</v>
      </c>
      <c r="F29" s="1">
        <v>2865.63</v>
      </c>
      <c r="G29" s="1"/>
      <c r="H29" s="1"/>
    </row>
    <row r="30" spans="1:8" x14ac:dyDescent="0.25">
      <c r="A30" s="1" t="s">
        <v>46</v>
      </c>
      <c r="B30" s="1">
        <f>0*12</f>
        <v>0</v>
      </c>
      <c r="C30" s="1" t="s">
        <v>36</v>
      </c>
      <c r="D30" s="1"/>
      <c r="E30" s="1" t="s">
        <v>47</v>
      </c>
      <c r="F30" s="1">
        <v>0</v>
      </c>
      <c r="G30" s="1"/>
      <c r="H30" s="1"/>
    </row>
    <row r="31" spans="1:8" x14ac:dyDescent="0.25">
      <c r="A31" s="1" t="s">
        <v>48</v>
      </c>
      <c r="B31" s="1">
        <v>0</v>
      </c>
      <c r="C31" s="1"/>
      <c r="D31" s="1"/>
      <c r="E31" s="1" t="s">
        <v>49</v>
      </c>
      <c r="F31" s="1">
        <v>0</v>
      </c>
      <c r="G31" s="1"/>
      <c r="H31" s="1"/>
    </row>
    <row r="32" spans="1:8" x14ac:dyDescent="0.25">
      <c r="A32" s="1" t="s">
        <v>50</v>
      </c>
      <c r="B32" s="1">
        <f>B23+B24+B31</f>
        <v>314757.54000000004</v>
      </c>
      <c r="C32" s="1"/>
      <c r="D32" s="1"/>
      <c r="E32" s="1" t="s">
        <v>51</v>
      </c>
      <c r="F32" s="1">
        <v>0</v>
      </c>
      <c r="G32" s="1"/>
      <c r="H32" s="1"/>
    </row>
    <row r="33" spans="1:8" x14ac:dyDescent="0.25">
      <c r="A33" s="1" t="s">
        <v>52</v>
      </c>
      <c r="B33" s="1" t="s">
        <v>10</v>
      </c>
      <c r="C33" s="1" t="s">
        <v>53</v>
      </c>
      <c r="D33" s="1"/>
      <c r="E33" s="1"/>
      <c r="F33" s="1"/>
      <c r="G33" s="1"/>
      <c r="H33" s="1"/>
    </row>
    <row r="34" spans="1:8" x14ac:dyDescent="0.25">
      <c r="A34" s="1" t="s">
        <v>54</v>
      </c>
      <c r="B34" s="1"/>
      <c r="C34" s="1"/>
      <c r="D34" s="1"/>
      <c r="E34" s="1"/>
      <c r="F34" s="1"/>
      <c r="G34" s="1"/>
      <c r="H34" s="1"/>
    </row>
    <row r="35" spans="1:8" x14ac:dyDescent="0.25">
      <c r="A35" s="1" t="s">
        <v>55</v>
      </c>
      <c r="B35" s="1">
        <f>(F22*((3059+200)*1.15*1.5*1.083*1.302)+0.053*F18)*12</f>
        <v>34806.483160488002</v>
      </c>
      <c r="C35" s="1" t="s">
        <v>56</v>
      </c>
      <c r="D35" s="1" t="s">
        <v>57</v>
      </c>
      <c r="E35" s="1"/>
      <c r="F35" s="1"/>
      <c r="G35" s="1"/>
      <c r="H35" s="1"/>
    </row>
    <row r="36" spans="1:8" x14ac:dyDescent="0.25">
      <c r="A36" s="1" t="s">
        <v>58</v>
      </c>
      <c r="B36" s="1">
        <f>F21*8184.66*12</f>
        <v>0</v>
      </c>
      <c r="C36" s="1" t="s">
        <v>59</v>
      </c>
      <c r="D36" s="1" t="s">
        <v>60</v>
      </c>
      <c r="E36" s="1"/>
      <c r="F36" s="1"/>
      <c r="G36" s="1"/>
      <c r="H36" s="1"/>
    </row>
    <row r="37" spans="1:8" x14ac:dyDescent="0.25">
      <c r="A37" s="1" t="s">
        <v>61</v>
      </c>
      <c r="B37" s="1">
        <f>((F25*8184.66)+F13*8.74724)*12*0</f>
        <v>0</v>
      </c>
      <c r="C37" s="1" t="s">
        <v>62</v>
      </c>
      <c r="D37" s="1" t="s">
        <v>57</v>
      </c>
      <c r="E37" s="1"/>
      <c r="F37" s="1"/>
      <c r="G37" s="1"/>
      <c r="H37" s="1"/>
    </row>
    <row r="38" spans="1:8" x14ac:dyDescent="0.25">
      <c r="A38" s="1" t="s">
        <v>63</v>
      </c>
      <c r="B38" s="1">
        <f>266.83*0.02*F14*12</f>
        <v>6531.9984000000004</v>
      </c>
      <c r="C38" s="1" t="s">
        <v>64</v>
      </c>
      <c r="D38" s="1" t="s">
        <v>65</v>
      </c>
      <c r="E38" s="1"/>
      <c r="F38" s="1"/>
      <c r="G38" s="1"/>
      <c r="H38" s="1"/>
    </row>
    <row r="39" spans="1:8" x14ac:dyDescent="0.25">
      <c r="A39" s="1" t="s">
        <v>66</v>
      </c>
      <c r="B39" s="1">
        <f>(16.21*F13)+(17.07*F13)</f>
        <v>1597.44</v>
      </c>
      <c r="C39" s="1" t="s">
        <v>67</v>
      </c>
      <c r="D39" s="1" t="s">
        <v>68</v>
      </c>
      <c r="E39" s="1"/>
      <c r="F39" s="1"/>
      <c r="G39" s="1"/>
      <c r="H39" s="1"/>
    </row>
    <row r="40" spans="1:8" x14ac:dyDescent="0.25">
      <c r="A40" s="1" t="s">
        <v>69</v>
      </c>
      <c r="B40" s="1">
        <f>(2*47.84*F30)+(2*50.38*F30)</f>
        <v>0</v>
      </c>
      <c r="C40" s="1" t="s">
        <v>70</v>
      </c>
      <c r="D40" s="1" t="s">
        <v>71</v>
      </c>
      <c r="E40" s="1"/>
      <c r="F40" s="1"/>
      <c r="G40" s="1"/>
      <c r="H40" s="1"/>
    </row>
    <row r="41" spans="1:8" x14ac:dyDescent="0.25">
      <c r="A41" s="1" t="s">
        <v>72</v>
      </c>
      <c r="B41" s="1">
        <f>((6*0.21*F16)+(6*0.22*F16))</f>
        <v>1800.8400000000001</v>
      </c>
      <c r="C41" s="1" t="s">
        <v>73</v>
      </c>
      <c r="D41" s="1" t="s">
        <v>16</v>
      </c>
      <c r="E41" s="1"/>
      <c r="F41" s="1"/>
      <c r="G41" s="1"/>
      <c r="H41" s="1"/>
    </row>
    <row r="42" spans="1:8" x14ac:dyDescent="0.25">
      <c r="A42" s="1" t="s">
        <v>74</v>
      </c>
      <c r="B42" s="1">
        <f>(2*0.62*F16)+(2*0.65*F16)</f>
        <v>1772.92</v>
      </c>
      <c r="C42" s="1" t="s">
        <v>75</v>
      </c>
      <c r="D42" s="1" t="s">
        <v>76</v>
      </c>
      <c r="E42" s="1"/>
      <c r="F42" s="1"/>
      <c r="G42" s="1"/>
      <c r="H42" s="1"/>
    </row>
    <row r="43" spans="1:8" x14ac:dyDescent="0.25">
      <c r="A43" s="1" t="s">
        <v>77</v>
      </c>
      <c r="B43" s="1">
        <f>F28*12/1.18</f>
        <v>7420.9830508474579</v>
      </c>
      <c r="C43" s="1" t="s">
        <v>78</v>
      </c>
      <c r="D43" s="1" t="s">
        <v>16</v>
      </c>
      <c r="E43" s="1"/>
      <c r="F43" s="1"/>
      <c r="G43" s="1"/>
      <c r="H43" s="1"/>
    </row>
    <row r="44" spans="1:8" x14ac:dyDescent="0.25">
      <c r="A44" s="1" t="s">
        <v>79</v>
      </c>
      <c r="B44" s="1">
        <f>G28*12/1.18</f>
        <v>5902.7796610169498</v>
      </c>
      <c r="C44" s="1" t="s">
        <v>80</v>
      </c>
      <c r="D44" s="1" t="s">
        <v>16</v>
      </c>
      <c r="E44" s="1"/>
      <c r="F44" s="1"/>
      <c r="G44" s="1"/>
      <c r="H44" s="1"/>
    </row>
    <row r="45" spans="1:8" x14ac:dyDescent="0.25">
      <c r="A45" s="1" t="s">
        <v>81</v>
      </c>
      <c r="B45" s="1">
        <f>F29/1.18</f>
        <v>2428.5</v>
      </c>
      <c r="C45" s="1" t="s">
        <v>82</v>
      </c>
      <c r="D45" s="1" t="s">
        <v>83</v>
      </c>
      <c r="E45" s="1"/>
      <c r="F45" s="1"/>
      <c r="G45" s="1"/>
      <c r="H45" s="1"/>
    </row>
    <row r="46" spans="1:8" x14ac:dyDescent="0.25">
      <c r="A46" s="1" t="s">
        <v>84</v>
      </c>
      <c r="B46" s="1">
        <f>F32*F27*12</f>
        <v>0</v>
      </c>
      <c r="C46" s="1" t="s">
        <v>85</v>
      </c>
      <c r="D46" s="1" t="s">
        <v>16</v>
      </c>
      <c r="E46" s="1"/>
      <c r="F46" s="1"/>
      <c r="G46" s="1"/>
      <c r="H46" s="1"/>
    </row>
    <row r="47" spans="1:8" x14ac:dyDescent="0.25">
      <c r="A47" s="1" t="s">
        <v>86</v>
      </c>
      <c r="B47" s="1">
        <f>F31/1.18*F27</f>
        <v>0</v>
      </c>
      <c r="C47" s="1" t="s">
        <v>87</v>
      </c>
      <c r="D47" s="1" t="s">
        <v>83</v>
      </c>
      <c r="E47" s="1"/>
      <c r="F47" s="1"/>
      <c r="G47" s="1"/>
      <c r="H47" s="1"/>
    </row>
    <row r="48" spans="1:8" x14ac:dyDescent="0.25">
      <c r="A48" s="1" t="s">
        <v>88</v>
      </c>
      <c r="B48" s="1">
        <f>(113.78*1.65/12*F14*6)+(127.2*1.65/12*F14*6)</f>
        <v>20278.466999999997</v>
      </c>
      <c r="C48" s="1" t="s">
        <v>89</v>
      </c>
      <c r="D48" s="1" t="s">
        <v>65</v>
      </c>
      <c r="E48" s="1"/>
      <c r="F48" s="1"/>
      <c r="G48" s="1"/>
      <c r="H48" s="1"/>
    </row>
    <row r="49" spans="1:8" x14ac:dyDescent="0.25">
      <c r="A49" s="1" t="s">
        <v>90</v>
      </c>
      <c r="B49" s="1">
        <f>0*176.76*12</f>
        <v>0</v>
      </c>
      <c r="C49" s="1" t="s">
        <v>91</v>
      </c>
      <c r="D49" s="1" t="s">
        <v>65</v>
      </c>
      <c r="E49" s="1"/>
      <c r="F49" s="1"/>
      <c r="G49" s="1"/>
      <c r="H49" s="1"/>
    </row>
    <row r="50" spans="1:8" x14ac:dyDescent="0.25">
      <c r="A50" s="1" t="s">
        <v>92</v>
      </c>
      <c r="B50" s="1">
        <f>B35+B36+B37+B38+B39+B40+B41+B42+B43+B45+B46+B48+B49+B47+B44</f>
        <v>82540.411272352387</v>
      </c>
      <c r="C50" s="1"/>
      <c r="D50" s="1"/>
      <c r="E50" s="1"/>
      <c r="F50" s="1"/>
      <c r="G50" s="1"/>
      <c r="H50" s="1"/>
    </row>
    <row r="51" spans="1:8" x14ac:dyDescent="0.25">
      <c r="A51" s="1" t="s">
        <v>93</v>
      </c>
      <c r="B51" s="1"/>
      <c r="C51" s="1"/>
      <c r="D51" s="1"/>
      <c r="E51" s="1"/>
      <c r="F51" s="1"/>
      <c r="G51" s="1"/>
      <c r="H51" s="1"/>
    </row>
    <row r="52" spans="1:8" x14ac:dyDescent="0.25">
      <c r="A52" s="1" t="s">
        <v>94</v>
      </c>
      <c r="B52" s="1">
        <f>(F20*82.67+0.518*(B11+B12)*12)</f>
        <v>12921.428799999998</v>
      </c>
      <c r="C52" s="1" t="s">
        <v>95</v>
      </c>
      <c r="D52" s="1"/>
      <c r="E52" s="1"/>
      <c r="F52" s="1"/>
      <c r="G52" s="1"/>
      <c r="H52" s="1"/>
    </row>
    <row r="53" spans="1:8" x14ac:dyDescent="0.25">
      <c r="A53" s="1" t="s">
        <v>96</v>
      </c>
      <c r="B53" s="1">
        <f>14.86*F17</f>
        <v>15573.279999999999</v>
      </c>
      <c r="C53" s="1" t="s">
        <v>97</v>
      </c>
      <c r="D53" s="1" t="s">
        <v>98</v>
      </c>
      <c r="E53" s="1"/>
      <c r="F53" s="1"/>
      <c r="G53" s="1"/>
      <c r="H53" s="1"/>
    </row>
    <row r="54" spans="1:8" x14ac:dyDescent="0.25">
      <c r="A54" s="1" t="s">
        <v>99</v>
      </c>
      <c r="B54" s="1">
        <v>0</v>
      </c>
      <c r="C54" s="1"/>
      <c r="D54" s="1"/>
      <c r="E54" s="1"/>
      <c r="F54" s="1"/>
      <c r="G54" s="1"/>
      <c r="H54" s="1"/>
    </row>
    <row r="55" spans="1:8" x14ac:dyDescent="0.25">
      <c r="A55" s="1" t="s">
        <v>100</v>
      </c>
      <c r="B55" s="1">
        <v>0</v>
      </c>
      <c r="C55" s="1"/>
      <c r="D55" s="1"/>
      <c r="E55" s="1"/>
      <c r="F55" s="1"/>
      <c r="G55" s="1"/>
      <c r="H55" s="1"/>
    </row>
    <row r="56" spans="1:8" x14ac:dyDescent="0.25">
      <c r="A56" s="1" t="s">
        <v>101</v>
      </c>
      <c r="B56" s="1">
        <f>(560.69+208.49/3)*F15/1000</f>
        <v>4983.5161600000001</v>
      </c>
      <c r="C56" s="1" t="s">
        <v>102</v>
      </c>
      <c r="D56" s="1" t="s">
        <v>103</v>
      </c>
      <c r="E56" s="1"/>
      <c r="F56" s="1"/>
      <c r="G56" s="1"/>
      <c r="H56" s="1"/>
    </row>
    <row r="57" spans="1:8" x14ac:dyDescent="0.25">
      <c r="A57" s="1" t="s">
        <v>104</v>
      </c>
      <c r="B57" s="1">
        <v>0</v>
      </c>
      <c r="C57" s="1"/>
      <c r="D57" s="1"/>
      <c r="E57" s="1"/>
      <c r="F57" s="1"/>
      <c r="G57" s="1"/>
      <c r="H57" s="1"/>
    </row>
    <row r="58" spans="1:8" x14ac:dyDescent="0.25">
      <c r="A58" s="1" t="s">
        <v>105</v>
      </c>
      <c r="B58" s="1">
        <f>(F23*82.67)+(F23*82.67/1.302)*0.25</f>
        <v>30595.834288172045</v>
      </c>
      <c r="C58" s="1" t="s">
        <v>106</v>
      </c>
      <c r="D58" s="1"/>
      <c r="E58" s="1"/>
      <c r="F58" s="1"/>
      <c r="G58" s="1"/>
      <c r="H58" s="1"/>
    </row>
    <row r="59" spans="1:8" x14ac:dyDescent="0.25">
      <c r="A59" s="1" t="s">
        <v>107</v>
      </c>
      <c r="B59" s="1">
        <f>B52+B53+B54+B55+B56+B57+B58</f>
        <v>64074.059248172045</v>
      </c>
      <c r="C59" s="1"/>
      <c r="D59" s="1"/>
      <c r="E59" s="1"/>
      <c r="F59" s="1"/>
      <c r="G59" s="1"/>
      <c r="H59" s="1"/>
    </row>
    <row r="60" spans="1:8" x14ac:dyDescent="0.25">
      <c r="A60" s="1" t="s">
        <v>108</v>
      </c>
      <c r="B60" s="1"/>
      <c r="C60" s="1"/>
      <c r="D60" s="1"/>
      <c r="E60" s="1"/>
      <c r="F60" s="1"/>
      <c r="G60" s="1"/>
      <c r="H60" s="1"/>
    </row>
    <row r="61" spans="1:8" x14ac:dyDescent="0.25">
      <c r="A61" s="1" t="s">
        <v>109</v>
      </c>
      <c r="B61" s="1"/>
      <c r="C61" s="1"/>
      <c r="D61" s="1"/>
      <c r="E61" s="1"/>
      <c r="F61" s="1"/>
      <c r="G61" s="1"/>
      <c r="H61" s="1"/>
    </row>
    <row r="62" spans="1:8" x14ac:dyDescent="0.25">
      <c r="A62" s="1" t="s">
        <v>110</v>
      </c>
      <c r="B62" s="1"/>
      <c r="C62" s="1"/>
      <c r="D62" s="1"/>
      <c r="E62" s="1"/>
      <c r="F62" s="1"/>
      <c r="G62" s="1"/>
      <c r="H62" s="1"/>
    </row>
    <row r="63" spans="1:8" x14ac:dyDescent="0.25">
      <c r="A63" s="1" t="s">
        <v>111</v>
      </c>
      <c r="B63" s="1"/>
      <c r="C63" s="1"/>
      <c r="D63" s="1"/>
      <c r="E63" s="1"/>
      <c r="F63" s="1"/>
      <c r="G63" s="1"/>
      <c r="H63" s="1"/>
    </row>
    <row r="64" spans="1:8" x14ac:dyDescent="0.25">
      <c r="A64" s="1" t="s">
        <v>112</v>
      </c>
      <c r="B64" s="1"/>
      <c r="C64" s="1"/>
      <c r="D64" s="1"/>
      <c r="E64" s="1"/>
      <c r="F64" s="1"/>
      <c r="G64" s="1"/>
      <c r="H64" s="1"/>
    </row>
    <row r="65" spans="1:8" x14ac:dyDescent="0.25">
      <c r="A65" s="1" t="s">
        <v>113</v>
      </c>
      <c r="B65" s="1"/>
      <c r="C65" s="1"/>
      <c r="D65" s="1"/>
      <c r="E65" s="1"/>
      <c r="F65" s="1"/>
      <c r="G65" s="1"/>
      <c r="H65" s="1"/>
    </row>
    <row r="66" spans="1:8" x14ac:dyDescent="0.25">
      <c r="A66" s="1" t="s">
        <v>114</v>
      </c>
      <c r="B66" s="1"/>
      <c r="C66" s="1"/>
      <c r="D66" s="1"/>
      <c r="E66" s="1"/>
      <c r="F66" s="1"/>
      <c r="G66" s="1"/>
      <c r="H66" s="1"/>
    </row>
    <row r="67" spans="1:8" x14ac:dyDescent="0.25">
      <c r="A67" s="1" t="s">
        <v>115</v>
      </c>
      <c r="B67" s="1">
        <f>B61+B62+B63+B64+B65+B66</f>
        <v>0</v>
      </c>
      <c r="C67" s="1"/>
      <c r="D67" s="1"/>
      <c r="E67" s="1"/>
      <c r="F67" s="1"/>
      <c r="G67" s="1"/>
      <c r="H67" s="1"/>
    </row>
    <row r="68" spans="1:8" x14ac:dyDescent="0.25">
      <c r="A68" s="1" t="s">
        <v>116</v>
      </c>
      <c r="B68" s="1">
        <f>2.096*(B11+B12)</f>
        <v>4167.4768000000004</v>
      </c>
      <c r="C68" s="1" t="s">
        <v>117</v>
      </c>
      <c r="D68" s="1" t="s">
        <v>16</v>
      </c>
      <c r="E68" s="1"/>
      <c r="F68" s="1"/>
      <c r="G68" s="1"/>
      <c r="H68" s="1"/>
    </row>
    <row r="69" spans="1:8" x14ac:dyDescent="0.25">
      <c r="A69" s="1" t="s">
        <v>118</v>
      </c>
      <c r="B69" s="1">
        <f>1.28*(B11+B12)</f>
        <v>2545.0239999999999</v>
      </c>
      <c r="C69" s="1" t="s">
        <v>119</v>
      </c>
      <c r="D69" s="1" t="s">
        <v>16</v>
      </c>
      <c r="E69" s="1"/>
      <c r="F69" s="1"/>
      <c r="G69" s="1"/>
      <c r="H69" s="1"/>
    </row>
    <row r="70" spans="1:8" x14ac:dyDescent="0.25">
      <c r="A70" s="1" t="s">
        <v>120</v>
      </c>
      <c r="B70" s="1">
        <f>(B50+B59)*0.166</f>
        <v>24338.002106407057</v>
      </c>
      <c r="C70" s="1" t="s">
        <v>121</v>
      </c>
      <c r="D70" s="1" t="s">
        <v>16</v>
      </c>
      <c r="E70" s="1"/>
      <c r="F70" s="1"/>
      <c r="G70" s="1"/>
      <c r="H70" s="1"/>
    </row>
    <row r="71" spans="1:8" x14ac:dyDescent="0.25">
      <c r="A71" s="1" t="s">
        <v>122</v>
      </c>
      <c r="B71" s="1">
        <f>F24*B11*12</f>
        <v>27677.135999999999</v>
      </c>
      <c r="C71" s="1" t="s">
        <v>123</v>
      </c>
      <c r="D71" s="1" t="s">
        <v>16</v>
      </c>
      <c r="E71" s="1"/>
      <c r="F71" s="1"/>
      <c r="G71" s="1"/>
      <c r="H71" s="1"/>
    </row>
    <row r="72" spans="1:8" x14ac:dyDescent="0.25">
      <c r="A72" s="1" t="s">
        <v>124</v>
      </c>
      <c r="B72" s="1">
        <f>(B50+B59+B70)*0.159</f>
        <v>27181.443147682105</v>
      </c>
      <c r="C72" s="1" t="s">
        <v>125</v>
      </c>
      <c r="D72" s="1" t="s">
        <v>16</v>
      </c>
      <c r="E72" s="1"/>
      <c r="F72" s="1"/>
      <c r="G72" s="1"/>
      <c r="H72" s="1"/>
    </row>
    <row r="73" spans="1:8" x14ac:dyDescent="0.25">
      <c r="A73" s="1" t="s">
        <v>126</v>
      </c>
      <c r="B73" s="1">
        <f>B68+B69+B70+B71+B72</f>
        <v>85909.082054089158</v>
      </c>
      <c r="C73" s="1"/>
      <c r="D73" s="1"/>
      <c r="E73" s="1"/>
      <c r="F73" s="1"/>
      <c r="G73" s="1"/>
      <c r="H73" s="1"/>
    </row>
    <row r="74" spans="1:8" x14ac:dyDescent="0.25">
      <c r="A74" s="1" t="s">
        <v>127</v>
      </c>
      <c r="B74" s="1">
        <f>(B50+B59+B67+B73)*3%</f>
        <v>6975.7065772384076</v>
      </c>
      <c r="C74" s="1"/>
      <c r="D74" s="1"/>
      <c r="E74" s="1"/>
      <c r="F74" s="1"/>
      <c r="G74" s="1"/>
      <c r="H74" s="1"/>
    </row>
    <row r="75" spans="1:8" x14ac:dyDescent="0.25">
      <c r="A75" s="1" t="s">
        <v>50</v>
      </c>
      <c r="B75" s="1">
        <f>B50+B59+B67+B73+B74</f>
        <v>239499.25915185199</v>
      </c>
      <c r="C75" s="1"/>
      <c r="D75" s="1"/>
      <c r="E75" s="1"/>
      <c r="F75" s="1"/>
      <c r="G75" s="1"/>
      <c r="H75" s="1"/>
    </row>
    <row r="76" spans="1:8" x14ac:dyDescent="0.25">
      <c r="A76" s="1" t="s">
        <v>128</v>
      </c>
      <c r="B76" s="1">
        <f>B75*1.18</f>
        <v>282609.12579918536</v>
      </c>
      <c r="C76" s="1"/>
      <c r="D76" s="1"/>
      <c r="E76" s="1"/>
      <c r="F76" s="1"/>
      <c r="G76" s="1"/>
      <c r="H76" s="1"/>
    </row>
    <row r="77" spans="1:8" x14ac:dyDescent="0.25">
      <c r="A77" s="1"/>
      <c r="B77" s="1">
        <f>B32-B76</f>
        <v>32148.414200814674</v>
      </c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 t="s">
        <v>129</v>
      </c>
      <c r="B79" s="1"/>
      <c r="C79" s="1"/>
      <c r="D79" s="1"/>
      <c r="E79" s="1"/>
      <c r="F79" s="1"/>
      <c r="G79" s="1"/>
      <c r="H79" s="1"/>
    </row>
    <row r="80" spans="1:8" x14ac:dyDescent="0.25">
      <c r="A80" s="1" t="s">
        <v>130</v>
      </c>
      <c r="B80" s="1"/>
      <c r="C80" s="1"/>
      <c r="D80" s="1"/>
      <c r="E80" s="1"/>
      <c r="F80" s="1"/>
      <c r="G80" s="1"/>
      <c r="H80" s="1"/>
    </row>
    <row r="81" spans="1:8" x14ac:dyDescent="0.25">
      <c r="A81" s="1" t="s">
        <v>131</v>
      </c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 t="s">
        <v>132</v>
      </c>
      <c r="B86" s="1"/>
      <c r="C86" s="1" t="s">
        <v>133</v>
      </c>
      <c r="D86" s="1"/>
      <c r="E86" s="1"/>
      <c r="F86" s="1"/>
      <c r="G86" s="1"/>
      <c r="H86" s="1"/>
    </row>
    <row r="88" spans="1:8" x14ac:dyDescent="0.25">
      <c r="A88" t="s">
        <v>134</v>
      </c>
      <c r="C88">
        <v>76320.509999999995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/>
  </sheetViews>
  <sheetFormatPr defaultRowHeight="15" x14ac:dyDescent="0.25"/>
  <sheetData>
    <row r="1" spans="1:20" x14ac:dyDescent="0.25">
      <c r="A1" t="s">
        <v>135</v>
      </c>
    </row>
    <row r="2" spans="1:20" x14ac:dyDescent="0.25">
      <c r="R2" t="s">
        <v>136</v>
      </c>
    </row>
    <row r="3" spans="1:20" x14ac:dyDescent="0.25">
      <c r="A3" t="s">
        <v>137</v>
      </c>
      <c r="B3" t="s">
        <v>138</v>
      </c>
      <c r="C3" t="s">
        <v>139</v>
      </c>
      <c r="D3" t="s">
        <v>140</v>
      </c>
      <c r="E3" t="s">
        <v>141</v>
      </c>
      <c r="F3" t="s">
        <v>142</v>
      </c>
      <c r="G3" t="s">
        <v>143</v>
      </c>
      <c r="L3" t="s">
        <v>144</v>
      </c>
      <c r="R3" t="s">
        <v>145</v>
      </c>
    </row>
    <row r="4" spans="1:20" x14ac:dyDescent="0.25">
      <c r="G4" t="s">
        <v>146</v>
      </c>
      <c r="H4" t="s">
        <v>147</v>
      </c>
      <c r="I4" t="s">
        <v>148</v>
      </c>
      <c r="J4" t="s">
        <v>149</v>
      </c>
      <c r="K4" t="s">
        <v>150</v>
      </c>
      <c r="L4" t="s">
        <v>151</v>
      </c>
      <c r="M4" t="s">
        <v>152</v>
      </c>
      <c r="N4" t="s">
        <v>153</v>
      </c>
      <c r="O4" t="s">
        <v>154</v>
      </c>
      <c r="P4" t="s">
        <v>155</v>
      </c>
      <c r="Q4" t="s">
        <v>156</v>
      </c>
    </row>
    <row r="5" spans="1:20" x14ac:dyDescent="0.25">
      <c r="A5">
        <v>1</v>
      </c>
      <c r="B5" t="s">
        <v>157</v>
      </c>
      <c r="C5">
        <v>4511.8999999999996</v>
      </c>
      <c r="D5">
        <v>102</v>
      </c>
      <c r="G5">
        <v>183072.45</v>
      </c>
      <c r="H5">
        <f t="shared" ref="H5:H14" si="0">G5*0.97</f>
        <v>177580.27650000001</v>
      </c>
      <c r="I5">
        <f t="shared" ref="I5:I14" si="1">H5*0.8/100/1.18</f>
        <v>1203.9340779661018</v>
      </c>
      <c r="J5">
        <f t="shared" ref="J5:J14" si="2">I5/C5</f>
        <v>0.26683527515372724</v>
      </c>
      <c r="K5">
        <f t="shared" ref="K5:K14" si="3">J5*1.1</f>
        <v>0.29351880266909997</v>
      </c>
      <c r="L5">
        <f t="shared" ref="L5:L14" si="4">D5*28.19</f>
        <v>2875.38</v>
      </c>
      <c r="M5">
        <f t="shared" ref="M5:M14" si="5">D5*E5*17.47</f>
        <v>0</v>
      </c>
      <c r="N5">
        <f t="shared" ref="N5:N14" si="6">D5*F5*55.51</f>
        <v>0</v>
      </c>
      <c r="O5">
        <f t="shared" ref="O5:O14" si="7">SUM(L5:N5)</f>
        <v>2875.38</v>
      </c>
      <c r="P5">
        <f t="shared" ref="P5:P14" si="8">O5/C5</f>
        <v>0.63728806046233299</v>
      </c>
      <c r="Q5">
        <f t="shared" ref="Q5:Q14" si="9">P5*1.1</f>
        <v>0.70101686650856632</v>
      </c>
      <c r="R5">
        <f t="shared" ref="R5:R14" si="10">K5+Q5</f>
        <v>0.99453566917766634</v>
      </c>
      <c r="S5">
        <f t="shared" ref="S5:S14" si="11">T5/C5</f>
        <v>40.575467098118317</v>
      </c>
      <c r="T5">
        <f t="shared" ref="T5:T14" si="12">G5</f>
        <v>183072.45</v>
      </c>
    </row>
    <row r="6" spans="1:20" x14ac:dyDescent="0.25">
      <c r="A6">
        <v>2</v>
      </c>
      <c r="B6" t="s">
        <v>158</v>
      </c>
      <c r="C6">
        <v>1988.3</v>
      </c>
      <c r="D6">
        <v>48</v>
      </c>
      <c r="E6">
        <v>6.8599999999999994E-2</v>
      </c>
      <c r="F6">
        <v>3.2599999999999997E-2</v>
      </c>
      <c r="G6">
        <v>92487.55</v>
      </c>
      <c r="H6">
        <f t="shared" si="0"/>
        <v>89712.923500000004</v>
      </c>
      <c r="I6">
        <f t="shared" si="1"/>
        <v>608.22321016949172</v>
      </c>
      <c r="J6">
        <f t="shared" si="2"/>
        <v>0.30590112667579927</v>
      </c>
      <c r="K6">
        <f t="shared" si="3"/>
        <v>0.33649123934337921</v>
      </c>
      <c r="L6">
        <f t="shared" si="4"/>
        <v>1353.1200000000001</v>
      </c>
      <c r="M6">
        <f t="shared" si="5"/>
        <v>57.525215999999993</v>
      </c>
      <c r="N6">
        <f t="shared" si="6"/>
        <v>86.862048000000001</v>
      </c>
      <c r="O6">
        <f t="shared" si="7"/>
        <v>1497.5072640000001</v>
      </c>
      <c r="P6">
        <f t="shared" si="8"/>
        <v>0.75315961575215018</v>
      </c>
      <c r="Q6">
        <f t="shared" si="9"/>
        <v>0.82847557732736532</v>
      </c>
      <c r="R6">
        <f t="shared" si="10"/>
        <v>1.1649668166707445</v>
      </c>
      <c r="S6">
        <f t="shared" si="11"/>
        <v>46.515892973897301</v>
      </c>
      <c r="T6">
        <f t="shared" si="12"/>
        <v>92487.55</v>
      </c>
    </row>
    <row r="7" spans="1:20" x14ac:dyDescent="0.25">
      <c r="A7">
        <v>3</v>
      </c>
      <c r="B7" t="s">
        <v>159</v>
      </c>
      <c r="C7">
        <v>2537.8000000000002</v>
      </c>
      <c r="D7">
        <v>61</v>
      </c>
      <c r="E7">
        <v>6.8599999999999994E-2</v>
      </c>
      <c r="F7">
        <v>3.2599999999999997E-2</v>
      </c>
      <c r="G7">
        <v>95596.98</v>
      </c>
      <c r="H7">
        <f t="shared" si="0"/>
        <v>92729.070599999992</v>
      </c>
      <c r="I7">
        <f t="shared" si="1"/>
        <v>628.67166508474577</v>
      </c>
      <c r="J7">
        <f t="shared" si="2"/>
        <v>0.24772309286970831</v>
      </c>
      <c r="K7">
        <f t="shared" si="3"/>
        <v>0.27249540215667917</v>
      </c>
      <c r="L7">
        <f t="shared" si="4"/>
        <v>1719.5900000000001</v>
      </c>
      <c r="M7">
        <f t="shared" si="5"/>
        <v>73.104961999999986</v>
      </c>
      <c r="N7">
        <f t="shared" si="6"/>
        <v>110.38718599999999</v>
      </c>
      <c r="O7">
        <f t="shared" si="7"/>
        <v>1903.082148</v>
      </c>
      <c r="P7">
        <f t="shared" si="8"/>
        <v>0.74989445503979824</v>
      </c>
      <c r="Q7">
        <f t="shared" si="9"/>
        <v>0.82488390054377814</v>
      </c>
      <c r="R7">
        <f t="shared" si="10"/>
        <v>1.0973793027004572</v>
      </c>
      <c r="S7">
        <f t="shared" si="11"/>
        <v>37.669233194105125</v>
      </c>
      <c r="T7">
        <f t="shared" si="12"/>
        <v>95596.98</v>
      </c>
    </row>
    <row r="8" spans="1:20" x14ac:dyDescent="0.25">
      <c r="A8">
        <v>4</v>
      </c>
      <c r="B8" t="s">
        <v>160</v>
      </c>
      <c r="C8">
        <v>2776.5</v>
      </c>
      <c r="D8">
        <v>52</v>
      </c>
      <c r="E8">
        <v>6.8599999999999994E-2</v>
      </c>
      <c r="F8">
        <v>3.2599999999999997E-2</v>
      </c>
      <c r="G8">
        <v>123959.38</v>
      </c>
      <c r="H8">
        <f t="shared" si="0"/>
        <v>120240.5986</v>
      </c>
      <c r="I8">
        <f t="shared" si="1"/>
        <v>815.19049898305093</v>
      </c>
      <c r="J8">
        <f t="shared" si="2"/>
        <v>0.29360363730705957</v>
      </c>
      <c r="K8">
        <f t="shared" si="3"/>
        <v>0.32296400103776557</v>
      </c>
      <c r="L8">
        <f t="shared" si="4"/>
        <v>1465.88</v>
      </c>
      <c r="M8">
        <f t="shared" si="5"/>
        <v>62.318983999999993</v>
      </c>
      <c r="N8">
        <f t="shared" si="6"/>
        <v>94.100551999999993</v>
      </c>
      <c r="O8">
        <f t="shared" si="7"/>
        <v>1622.299536</v>
      </c>
      <c r="P8">
        <f t="shared" si="8"/>
        <v>0.58429660940032413</v>
      </c>
      <c r="Q8">
        <f t="shared" si="9"/>
        <v>0.64272627034035656</v>
      </c>
      <c r="R8">
        <f t="shared" si="10"/>
        <v>0.96569027137812213</v>
      </c>
      <c r="S8">
        <f t="shared" si="11"/>
        <v>44.645913920403387</v>
      </c>
      <c r="T8">
        <f t="shared" si="12"/>
        <v>123959.38</v>
      </c>
    </row>
    <row r="9" spans="1:20" x14ac:dyDescent="0.25">
      <c r="A9">
        <v>5</v>
      </c>
      <c r="B9" t="s">
        <v>161</v>
      </c>
      <c r="C9">
        <v>5380.7</v>
      </c>
      <c r="D9">
        <v>113</v>
      </c>
      <c r="E9">
        <v>6.8599999999999994E-2</v>
      </c>
      <c r="F9">
        <v>3.2599999999999997E-2</v>
      </c>
      <c r="G9">
        <v>215418.71</v>
      </c>
      <c r="H9">
        <f t="shared" si="0"/>
        <v>208956.14869999999</v>
      </c>
      <c r="I9">
        <f t="shared" si="1"/>
        <v>1416.6518555932205</v>
      </c>
      <c r="J9">
        <f t="shared" si="2"/>
        <v>0.26328393249822896</v>
      </c>
      <c r="K9">
        <f t="shared" si="3"/>
        <v>0.2896123257480519</v>
      </c>
      <c r="L9">
        <f t="shared" si="4"/>
        <v>3185.4700000000003</v>
      </c>
      <c r="M9">
        <f t="shared" si="5"/>
        <v>135.42394599999997</v>
      </c>
      <c r="N9">
        <f t="shared" si="6"/>
        <v>204.48773799999998</v>
      </c>
      <c r="O9">
        <f t="shared" si="7"/>
        <v>3525.381684</v>
      </c>
      <c r="P9">
        <f t="shared" si="8"/>
        <v>0.65519015815786052</v>
      </c>
      <c r="Q9">
        <f t="shared" si="9"/>
        <v>0.72070917397364664</v>
      </c>
      <c r="R9">
        <f t="shared" si="10"/>
        <v>1.0103214997216985</v>
      </c>
      <c r="S9">
        <f t="shared" si="11"/>
        <v>40.035443343802854</v>
      </c>
      <c r="T9">
        <f t="shared" si="12"/>
        <v>215418.71</v>
      </c>
    </row>
    <row r="10" spans="1:20" x14ac:dyDescent="0.25">
      <c r="A10">
        <v>6</v>
      </c>
      <c r="B10" t="s">
        <v>162</v>
      </c>
      <c r="C10">
        <v>1290.2</v>
      </c>
      <c r="D10">
        <v>20</v>
      </c>
      <c r="E10">
        <v>6.8599999999999994E-2</v>
      </c>
      <c r="F10">
        <v>3.2599999999999997E-2</v>
      </c>
      <c r="G10">
        <v>59261.35</v>
      </c>
      <c r="H10">
        <f t="shared" si="0"/>
        <v>57483.5095</v>
      </c>
      <c r="I10">
        <f t="shared" si="1"/>
        <v>389.71870847457626</v>
      </c>
      <c r="J10">
        <f t="shared" si="2"/>
        <v>0.30206069483380582</v>
      </c>
      <c r="K10">
        <f t="shared" si="3"/>
        <v>0.33226676431718644</v>
      </c>
      <c r="L10">
        <f t="shared" si="4"/>
        <v>563.80000000000007</v>
      </c>
      <c r="M10">
        <f t="shared" si="5"/>
        <v>23.968839999999997</v>
      </c>
      <c r="N10">
        <f t="shared" si="6"/>
        <v>36.192519999999995</v>
      </c>
      <c r="O10">
        <f t="shared" si="7"/>
        <v>623.96136000000001</v>
      </c>
      <c r="P10">
        <f t="shared" si="8"/>
        <v>0.48361599751976436</v>
      </c>
      <c r="Q10">
        <f t="shared" si="9"/>
        <v>0.53197759727174088</v>
      </c>
      <c r="R10">
        <f t="shared" si="10"/>
        <v>0.86424436158892726</v>
      </c>
      <c r="S10">
        <f t="shared" si="11"/>
        <v>45.931909781429233</v>
      </c>
      <c r="T10">
        <f t="shared" si="12"/>
        <v>59261.35</v>
      </c>
    </row>
    <row r="11" spans="1:20" x14ac:dyDescent="0.25">
      <c r="A11">
        <v>7</v>
      </c>
      <c r="C11">
        <v>2029.1</v>
      </c>
      <c r="D11">
        <v>44</v>
      </c>
      <c r="E11">
        <v>6.8599999999999994E-2</v>
      </c>
      <c r="F11">
        <v>3.2599999999999997E-2</v>
      </c>
      <c r="G11">
        <v>95650.09</v>
      </c>
      <c r="H11">
        <f t="shared" si="0"/>
        <v>92780.587299999999</v>
      </c>
      <c r="I11">
        <f t="shared" si="1"/>
        <v>629.02093084745775</v>
      </c>
      <c r="J11">
        <f t="shared" si="2"/>
        <v>0.30999996591959872</v>
      </c>
      <c r="K11">
        <f t="shared" si="3"/>
        <v>0.34099996251155862</v>
      </c>
      <c r="L11">
        <f t="shared" si="4"/>
        <v>1240.3600000000001</v>
      </c>
      <c r="M11">
        <f t="shared" si="5"/>
        <v>52.731447999999993</v>
      </c>
      <c r="N11">
        <f t="shared" si="6"/>
        <v>79.623543999999995</v>
      </c>
      <c r="O11">
        <f t="shared" si="7"/>
        <v>1372.7149920000002</v>
      </c>
      <c r="P11">
        <f t="shared" si="8"/>
        <v>0.67651421418362834</v>
      </c>
      <c r="Q11">
        <f t="shared" si="9"/>
        <v>0.74416563560199123</v>
      </c>
      <c r="R11">
        <f t="shared" si="10"/>
        <v>1.0851655981135497</v>
      </c>
      <c r="S11">
        <f t="shared" si="11"/>
        <v>47.139170075402888</v>
      </c>
      <c r="T11">
        <f t="shared" si="12"/>
        <v>95650.09</v>
      </c>
    </row>
    <row r="12" spans="1:20" x14ac:dyDescent="0.25">
      <c r="A12">
        <v>8</v>
      </c>
      <c r="C12">
        <v>3340.2</v>
      </c>
      <c r="D12">
        <v>81</v>
      </c>
      <c r="E12">
        <v>6.8600000000000008E-2</v>
      </c>
      <c r="F12">
        <v>3.2599999999999997E-2</v>
      </c>
      <c r="G12">
        <v>127457.78</v>
      </c>
      <c r="H12">
        <f t="shared" si="0"/>
        <v>123634.0466</v>
      </c>
      <c r="I12">
        <f t="shared" si="1"/>
        <v>838.196926101695</v>
      </c>
      <c r="J12">
        <f t="shared" si="2"/>
        <v>0.25094213702823037</v>
      </c>
      <c r="K12">
        <f t="shared" si="3"/>
        <v>0.27603635073105343</v>
      </c>
      <c r="L12">
        <f t="shared" si="4"/>
        <v>2283.3900000000003</v>
      </c>
      <c r="M12">
        <f t="shared" si="5"/>
        <v>97.073802000000001</v>
      </c>
      <c r="N12">
        <f t="shared" si="6"/>
        <v>146.57970599999999</v>
      </c>
      <c r="O12">
        <f t="shared" si="7"/>
        <v>2527.0435080000002</v>
      </c>
      <c r="P12">
        <f t="shared" si="8"/>
        <v>0.75655455002694461</v>
      </c>
      <c r="Q12">
        <f t="shared" si="9"/>
        <v>0.83221000502963915</v>
      </c>
      <c r="R12">
        <f t="shared" si="10"/>
        <v>1.1082463557606925</v>
      </c>
      <c r="S12">
        <f t="shared" si="11"/>
        <v>38.158727022333991</v>
      </c>
      <c r="T12">
        <f t="shared" si="12"/>
        <v>127457.78</v>
      </c>
    </row>
    <row r="13" spans="1:20" x14ac:dyDescent="0.25">
      <c r="A13">
        <v>9</v>
      </c>
      <c r="C13">
        <v>2703</v>
      </c>
      <c r="D13">
        <v>60</v>
      </c>
      <c r="E13">
        <v>6.8600000000000008E-2</v>
      </c>
      <c r="F13">
        <v>3.2599999999999997E-2</v>
      </c>
      <c r="G13">
        <v>104911.36</v>
      </c>
      <c r="H13">
        <f t="shared" si="0"/>
        <v>101764.0192</v>
      </c>
      <c r="I13">
        <f t="shared" si="1"/>
        <v>689.92555389830522</v>
      </c>
      <c r="J13">
        <f t="shared" si="2"/>
        <v>0.25524437806078626</v>
      </c>
      <c r="K13">
        <f t="shared" si="3"/>
        <v>0.28076881586686492</v>
      </c>
      <c r="L13">
        <f t="shared" si="4"/>
        <v>1691.4</v>
      </c>
      <c r="M13">
        <f t="shared" si="5"/>
        <v>71.90652</v>
      </c>
      <c r="N13">
        <f t="shared" si="6"/>
        <v>108.57755999999998</v>
      </c>
      <c r="O13">
        <f t="shared" si="7"/>
        <v>1871.88408</v>
      </c>
      <c r="P13">
        <f t="shared" si="8"/>
        <v>0.69252093229744727</v>
      </c>
      <c r="Q13">
        <f t="shared" si="9"/>
        <v>0.76177302552719206</v>
      </c>
      <c r="R13">
        <f t="shared" si="10"/>
        <v>1.042541841394057</v>
      </c>
      <c r="S13">
        <f t="shared" si="11"/>
        <v>38.812933777284499</v>
      </c>
      <c r="T13">
        <f t="shared" si="12"/>
        <v>104911.36</v>
      </c>
    </row>
    <row r="14" spans="1:20" x14ac:dyDescent="0.25">
      <c r="A14">
        <v>10</v>
      </c>
      <c r="C14">
        <v>4349.3</v>
      </c>
      <c r="D14">
        <v>90</v>
      </c>
      <c r="E14">
        <v>6.8600000000000008E-2</v>
      </c>
      <c r="F14">
        <v>3.2599999999999997E-2</v>
      </c>
      <c r="G14">
        <v>139806.85999999999</v>
      </c>
      <c r="H14">
        <f t="shared" si="0"/>
        <v>135612.65419999999</v>
      </c>
      <c r="I14">
        <f t="shared" si="1"/>
        <v>919.40782508474592</v>
      </c>
      <c r="J14">
        <f t="shared" si="2"/>
        <v>0.21139213783476557</v>
      </c>
      <c r="K14">
        <f t="shared" si="3"/>
        <v>0.23253135161824215</v>
      </c>
      <c r="L14">
        <f t="shared" si="4"/>
        <v>2537.1</v>
      </c>
      <c r="M14">
        <f t="shared" si="5"/>
        <v>107.85978</v>
      </c>
      <c r="N14">
        <f t="shared" si="6"/>
        <v>162.86633999999998</v>
      </c>
      <c r="O14">
        <f t="shared" si="7"/>
        <v>2807.8261200000002</v>
      </c>
      <c r="P14">
        <f t="shared" si="8"/>
        <v>0.64558115558825557</v>
      </c>
      <c r="Q14">
        <f t="shared" si="9"/>
        <v>0.7101392711470812</v>
      </c>
      <c r="R14">
        <f t="shared" si="10"/>
        <v>0.94267062276532332</v>
      </c>
      <c r="S14">
        <f t="shared" si="11"/>
        <v>32.144680753224655</v>
      </c>
      <c r="T14">
        <f t="shared" si="12"/>
        <v>139806.85999999999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/>
  </sheetViews>
  <sheetFormatPr defaultRowHeight="15" x14ac:dyDescent="0.25"/>
  <sheetData>
    <row r="2" spans="1:7" x14ac:dyDescent="0.25">
      <c r="B2" t="s">
        <v>163</v>
      </c>
    </row>
    <row r="4" spans="1:7" x14ac:dyDescent="0.25">
      <c r="A4" t="s">
        <v>137</v>
      </c>
      <c r="B4" t="s">
        <v>164</v>
      </c>
      <c r="C4" t="s">
        <v>165</v>
      </c>
      <c r="E4" t="s">
        <v>137</v>
      </c>
      <c r="F4" t="s">
        <v>166</v>
      </c>
      <c r="G4" t="s">
        <v>165</v>
      </c>
    </row>
    <row r="5" spans="1:7" x14ac:dyDescent="0.25">
      <c r="A5">
        <v>1</v>
      </c>
      <c r="B5" t="s">
        <v>167</v>
      </c>
      <c r="C5">
        <v>21</v>
      </c>
      <c r="E5">
        <v>1</v>
      </c>
      <c r="F5" t="s">
        <v>168</v>
      </c>
    </row>
    <row r="6" spans="1:7" x14ac:dyDescent="0.25">
      <c r="A6">
        <v>2</v>
      </c>
      <c r="B6" t="s">
        <v>169</v>
      </c>
      <c r="C6">
        <v>21</v>
      </c>
      <c r="E6">
        <v>2</v>
      </c>
      <c r="F6" t="s">
        <v>170</v>
      </c>
    </row>
    <row r="7" spans="1:7" x14ac:dyDescent="0.25">
      <c r="A7">
        <v>3</v>
      </c>
      <c r="B7" t="s">
        <v>171</v>
      </c>
      <c r="C7">
        <v>21</v>
      </c>
      <c r="E7">
        <v>3</v>
      </c>
      <c r="F7" t="s">
        <v>172</v>
      </c>
    </row>
    <row r="8" spans="1:7" x14ac:dyDescent="0.25">
      <c r="A8">
        <v>4</v>
      </c>
      <c r="B8" t="s">
        <v>173</v>
      </c>
      <c r="C8">
        <v>21</v>
      </c>
      <c r="E8">
        <v>4</v>
      </c>
      <c r="F8" t="s">
        <v>174</v>
      </c>
    </row>
    <row r="9" spans="1:7" x14ac:dyDescent="0.25">
      <c r="A9">
        <v>5</v>
      </c>
      <c r="B9" t="s">
        <v>175</v>
      </c>
      <c r="C9">
        <v>21</v>
      </c>
      <c r="E9">
        <v>5</v>
      </c>
      <c r="F9" t="s">
        <v>176</v>
      </c>
    </row>
    <row r="10" spans="1:7" x14ac:dyDescent="0.25">
      <c r="A10">
        <v>6</v>
      </c>
      <c r="B10" t="s">
        <v>177</v>
      </c>
      <c r="C10">
        <v>21</v>
      </c>
      <c r="E10">
        <v>6</v>
      </c>
      <c r="F10" t="s">
        <v>178</v>
      </c>
    </row>
    <row r="11" spans="1:7" x14ac:dyDescent="0.25">
      <c r="A11">
        <v>7</v>
      </c>
      <c r="B11" t="s">
        <v>179</v>
      </c>
      <c r="C11">
        <v>21</v>
      </c>
      <c r="E11">
        <v>7</v>
      </c>
      <c r="F11" t="s">
        <v>180</v>
      </c>
    </row>
    <row r="12" spans="1:7" x14ac:dyDescent="0.25">
      <c r="A12">
        <v>8</v>
      </c>
      <c r="B12" t="s">
        <v>181</v>
      </c>
      <c r="C12">
        <v>21</v>
      </c>
      <c r="E12">
        <v>8</v>
      </c>
      <c r="F12" t="s">
        <v>182</v>
      </c>
    </row>
    <row r="13" spans="1:7" x14ac:dyDescent="0.25">
      <c r="A13">
        <v>9</v>
      </c>
      <c r="B13" t="s">
        <v>183</v>
      </c>
      <c r="C13">
        <v>21</v>
      </c>
      <c r="E13">
        <v>9</v>
      </c>
      <c r="F13" t="s">
        <v>184</v>
      </c>
    </row>
    <row r="14" spans="1:7" x14ac:dyDescent="0.25">
      <c r="A14">
        <v>10</v>
      </c>
      <c r="B14" t="s">
        <v>185</v>
      </c>
      <c r="C14">
        <v>21</v>
      </c>
      <c r="E14">
        <v>10</v>
      </c>
      <c r="F14" t="s">
        <v>186</v>
      </c>
    </row>
    <row r="15" spans="1:7" x14ac:dyDescent="0.25">
      <c r="A15">
        <v>11</v>
      </c>
      <c r="B15" t="s">
        <v>187</v>
      </c>
      <c r="C15">
        <v>21</v>
      </c>
      <c r="E15">
        <v>11</v>
      </c>
      <c r="F15" t="s">
        <v>188</v>
      </c>
    </row>
    <row r="16" spans="1:7" x14ac:dyDescent="0.25">
      <c r="A16">
        <v>12</v>
      </c>
      <c r="B16" t="s">
        <v>189</v>
      </c>
      <c r="C16">
        <v>21</v>
      </c>
      <c r="E16">
        <v>12</v>
      </c>
    </row>
    <row r="17" spans="1:5" x14ac:dyDescent="0.25">
      <c r="A17">
        <v>13</v>
      </c>
      <c r="B17" t="s">
        <v>190</v>
      </c>
      <c r="C17">
        <v>21</v>
      </c>
      <c r="E17">
        <v>13</v>
      </c>
    </row>
    <row r="18" spans="1:5" x14ac:dyDescent="0.25">
      <c r="A18">
        <v>14</v>
      </c>
      <c r="B18" t="s">
        <v>191</v>
      </c>
      <c r="C18">
        <v>69</v>
      </c>
      <c r="E18">
        <v>14</v>
      </c>
    </row>
    <row r="19" spans="1:5" x14ac:dyDescent="0.25">
      <c r="A19">
        <v>15</v>
      </c>
      <c r="B19" t="s">
        <v>192</v>
      </c>
      <c r="C19">
        <v>28</v>
      </c>
      <c r="E19">
        <v>15</v>
      </c>
    </row>
    <row r="20" spans="1:5" x14ac:dyDescent="0.25">
      <c r="A20">
        <v>16</v>
      </c>
      <c r="B20" t="s">
        <v>193</v>
      </c>
      <c r="C20">
        <v>28</v>
      </c>
      <c r="E20">
        <v>16</v>
      </c>
    </row>
    <row r="21" spans="1:5" x14ac:dyDescent="0.25">
      <c r="A21">
        <v>17</v>
      </c>
      <c r="B21" t="s">
        <v>194</v>
      </c>
      <c r="C21">
        <v>24</v>
      </c>
      <c r="E21">
        <v>17</v>
      </c>
    </row>
    <row r="22" spans="1:5" x14ac:dyDescent="0.25">
      <c r="A22">
        <v>18</v>
      </c>
      <c r="B22" t="s">
        <v>195</v>
      </c>
      <c r="C22">
        <v>21</v>
      </c>
      <c r="E22">
        <v>18</v>
      </c>
    </row>
    <row r="23" spans="1:5" x14ac:dyDescent="0.25">
      <c r="A23">
        <v>19</v>
      </c>
      <c r="B23" t="s">
        <v>196</v>
      </c>
      <c r="C23">
        <v>24</v>
      </c>
      <c r="E23">
        <v>19</v>
      </c>
    </row>
    <row r="24" spans="1:5" x14ac:dyDescent="0.25">
      <c r="A24">
        <v>20</v>
      </c>
      <c r="B24" t="s">
        <v>197</v>
      </c>
      <c r="C24">
        <v>78</v>
      </c>
      <c r="E24">
        <v>20</v>
      </c>
    </row>
    <row r="25" spans="1:5" x14ac:dyDescent="0.25">
      <c r="A25">
        <v>21</v>
      </c>
      <c r="B25" t="s">
        <v>198</v>
      </c>
      <c r="C25">
        <v>21</v>
      </c>
      <c r="E25">
        <v>21</v>
      </c>
    </row>
    <row r="26" spans="1:5" x14ac:dyDescent="0.25">
      <c r="A26">
        <v>22</v>
      </c>
      <c r="B26" t="s">
        <v>199</v>
      </c>
      <c r="C26">
        <v>37</v>
      </c>
      <c r="E26">
        <v>22</v>
      </c>
    </row>
    <row r="27" spans="1:5" x14ac:dyDescent="0.25">
      <c r="A27">
        <v>23</v>
      </c>
      <c r="B27" t="s">
        <v>200</v>
      </c>
      <c r="E27">
        <v>23</v>
      </c>
    </row>
    <row r="28" spans="1:5" x14ac:dyDescent="0.25">
      <c r="A28">
        <v>24</v>
      </c>
      <c r="B28" t="s">
        <v>201</v>
      </c>
      <c r="E28">
        <v>24</v>
      </c>
    </row>
    <row r="29" spans="1:5" x14ac:dyDescent="0.25">
      <c r="A29">
        <v>25</v>
      </c>
      <c r="B29" t="s">
        <v>202</v>
      </c>
      <c r="C29">
        <v>69</v>
      </c>
      <c r="E29">
        <v>25</v>
      </c>
    </row>
    <row r="30" spans="1:5" x14ac:dyDescent="0.25">
      <c r="A30">
        <v>26</v>
      </c>
      <c r="B30" t="s">
        <v>203</v>
      </c>
      <c r="C30">
        <v>78</v>
      </c>
      <c r="E30">
        <v>26</v>
      </c>
    </row>
    <row r="31" spans="1:5" x14ac:dyDescent="0.25">
      <c r="A31">
        <v>27</v>
      </c>
      <c r="B31" t="s">
        <v>204</v>
      </c>
      <c r="C31">
        <v>69</v>
      </c>
      <c r="E31">
        <v>27</v>
      </c>
    </row>
    <row r="32" spans="1:5" x14ac:dyDescent="0.25">
      <c r="A32">
        <v>28</v>
      </c>
      <c r="B32" t="s">
        <v>205</v>
      </c>
      <c r="C32">
        <v>24</v>
      </c>
      <c r="E32">
        <v>28</v>
      </c>
    </row>
    <row r="33" spans="1:5" x14ac:dyDescent="0.25">
      <c r="A33">
        <v>29</v>
      </c>
      <c r="E33">
        <v>29</v>
      </c>
    </row>
    <row r="34" spans="1:5" x14ac:dyDescent="0.25">
      <c r="A34">
        <v>30</v>
      </c>
      <c r="E34">
        <v>30</v>
      </c>
    </row>
    <row r="35" spans="1:5" x14ac:dyDescent="0.25">
      <c r="A35">
        <v>31</v>
      </c>
      <c r="E35">
        <v>31</v>
      </c>
    </row>
    <row r="36" spans="1:5" x14ac:dyDescent="0.25">
      <c r="A36">
        <v>32</v>
      </c>
      <c r="E36">
        <v>32</v>
      </c>
    </row>
    <row r="37" spans="1:5" x14ac:dyDescent="0.25">
      <c r="A37">
        <v>33</v>
      </c>
      <c r="E37">
        <v>33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Интернациональная,23</vt:lpstr>
      <vt:lpstr>Приложение к расчетам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2014-05-27T06:04:15Z</dcterms:created>
  <dcterms:modified xsi:type="dcterms:W3CDTF">2014-05-27T06:04:15Z</dcterms:modified>
</cp:coreProperties>
</file>