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7555" windowHeight="12045"/>
  </bookViews>
  <sheets>
    <sheet name="Мира,36" sheetId="1" r:id="rId1"/>
  </sheets>
  <calcPr calcId="145621"/>
</workbook>
</file>

<file path=xl/calcChain.xml><?xml version="1.0" encoding="utf-8"?>
<calcChain xmlns="http://schemas.openxmlformats.org/spreadsheetml/2006/main">
  <c r="B14" i="1" l="1"/>
  <c r="B15" i="1"/>
  <c r="B16" i="1"/>
  <c r="B23" i="1"/>
  <c r="B25" i="1"/>
  <c r="B24" i="1" s="1"/>
  <c r="B32" i="1" s="1"/>
  <c r="B26" i="1"/>
  <c r="B27" i="1"/>
  <c r="B28" i="1"/>
  <c r="B29" i="1"/>
  <c r="B30" i="1"/>
  <c r="B35" i="1"/>
  <c r="B36" i="1"/>
  <c r="B49" i="1" s="1"/>
  <c r="B37" i="1"/>
  <c r="B38" i="1"/>
  <c r="B39" i="1"/>
  <c r="B40" i="1"/>
  <c r="B41" i="1"/>
  <c r="B42" i="1"/>
  <c r="B43" i="1"/>
  <c r="B44" i="1"/>
  <c r="B45" i="1"/>
  <c r="B46" i="1"/>
  <c r="B47" i="1"/>
  <c r="B48" i="1"/>
  <c r="B51" i="1"/>
  <c r="B52" i="1"/>
  <c r="B55" i="1"/>
  <c r="B57" i="1"/>
  <c r="B58" i="1"/>
  <c r="B66" i="1"/>
  <c r="B67" i="1"/>
  <c r="B68" i="1"/>
  <c r="B70" i="1"/>
  <c r="B69" i="1" l="1"/>
  <c r="B71" i="1" l="1"/>
  <c r="B72" i="1" s="1"/>
  <c r="B73" i="1" l="1"/>
  <c r="B74" i="1"/>
  <c r="B75" i="1" s="1"/>
  <c r="B76" i="1" s="1"/>
</calcChain>
</file>

<file path=xl/sharedStrings.xml><?xml version="1.0" encoding="utf-8"?>
<sst xmlns="http://schemas.openxmlformats.org/spreadsheetml/2006/main" count="150" uniqueCount="133">
  <si>
    <t>Остаток средств на 07.2013г.</t>
  </si>
  <si>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</si>
  <si>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</si>
  <si>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</si>
  <si>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</si>
  <si>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>В расходной части сметы не учтены затраты на текущий ремонт МКД.</t>
  </si>
  <si>
    <t>Итого стоимость услуг с НДС:</t>
  </si>
  <si>
    <t>Итого:</t>
  </si>
  <si>
    <t>Рентабельность, 3%</t>
  </si>
  <si>
    <t>Всего по п.4-8:</t>
  </si>
  <si>
    <t>1 раз в мес.</t>
  </si>
  <si>
    <t>(Прямые расходы+общеэкспуатационные расходы)*0,159</t>
  </si>
  <si>
    <t xml:space="preserve">8.Управление домом </t>
  </si>
  <si>
    <t>0,97руб./кв.м.*2286,1кв.м.*12мес.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</si>
  <si>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</si>
  <si>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</si>
  <si>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</si>
  <si>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1,28руб./кв.м*(2286,1)кв.м.</t>
  </si>
  <si>
    <t>5.ОДС</t>
  </si>
  <si>
    <t>2,096 руб./кв.м.*(2286,1)кв.м.</t>
  </si>
  <si>
    <t>4.Аварийно-ремонтная служба</t>
  </si>
  <si>
    <t>Всего по п.3:</t>
  </si>
  <si>
    <t>- ремонт лестничной клетки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</si>
  <si>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</si>
  <si>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</si>
  <si>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</si>
  <si>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</si>
  <si>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</si>
  <si>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</si>
  <si>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</si>
  <si>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(264,97ч/час*82,67руб./час)+(264,97ч/час*82,67руб./час/1,302)*25%</t>
  </si>
  <si>
    <t>-резерв на непредвиденные работы</t>
  </si>
  <si>
    <t>-покраска металлических ограждений</t>
  </si>
  <si>
    <t>гидравлические испытания - 1 раз в год, промывка - 1 раз в 3 года</t>
  </si>
  <si>
    <t>(560,69руб./куб.м.+208,49руб./куб.м./3)*11067/1000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</si>
  <si>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</si>
  <si>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</si>
  <si>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</si>
  <si>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</si>
  <si>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14,86руб./кв.м.*1092кв.м.</t>
  </si>
  <si>
    <t>-очистка кровли от снега</t>
  </si>
  <si>
    <t>(9,28ч/час*82,67руб./час.+0,518руб./м.кв.*(2286,1кв.м.)*12мес.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</si>
  <si>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</si>
  <si>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</si>
  <si>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</si>
  <si>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</si>
  <si>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0куб.м.*176,76руб.*12мес.</t>
  </si>
  <si>
    <t>.-вывоз мусора (арендаторы)</t>
  </si>
  <si>
    <t>((113,78руб./чел.в мес.*97чел.*6мес.*1,65/12)+(127,20 руб./чел.в мес.*97чел.*6мес.*1,65/12))</t>
  </si>
  <si>
    <t>.-вывоз мусора (население)САХ</t>
  </si>
  <si>
    <t>1 раз в год</t>
  </si>
  <si>
    <t>4190 руб./год*0л./1,18</t>
  </si>
  <si>
    <t>.-освидетельствование лифтов</t>
  </si>
  <si>
    <t>(4926,77руб./мес.*12 мес.*0 лифта)</t>
  </si>
  <si>
    <t>.-комплексное обслуживание лифтов</t>
  </si>
  <si>
    <t>580,44руб./мес.*12 мес./1,18</t>
  </si>
  <si>
    <t>.-обслуживание узлов автоматического регулирования</t>
  </si>
  <si>
    <t>1393,02руб./мес.*12 мес./1,18</t>
  </si>
  <si>
    <t>.-т/о приборов учета тепловой энергии</t>
  </si>
  <si>
    <t>по заявкам</t>
  </si>
  <si>
    <t>(2 раза в год*0,62руб./мес.*840кв.м.)+(2раза в год*0,65руб./мес.*840кв.м.)</t>
  </si>
  <si>
    <t>.-дезинсекция</t>
  </si>
  <si>
    <t>(6раз в год*0,21 руб./мес.*840кв.м.)+(6раз в год*0,22руб.в мес.*840кв.м.)</t>
  </si>
  <si>
    <t>.-дератизация</t>
  </si>
  <si>
    <t>1 раз в квартал</t>
  </si>
  <si>
    <t>(2раза в год*47,84 руб.*0 дымоходов)+(2 раза в год*50,38руб.*0дымоходов)</t>
  </si>
  <si>
    <t>.-проверка дымоходов</t>
  </si>
  <si>
    <t>2 раз в год</t>
  </si>
  <si>
    <t>(16,21руб.*32вентк.)+(17,07руб.*32вентк.)</t>
  </si>
  <si>
    <t>-очистка вентканалов</t>
  </si>
  <si>
    <t>(266,83руб./куб.м.*0,02куб.м.*97чел.)*12</t>
  </si>
  <si>
    <t>.- вывоз КГМ</t>
  </si>
  <si>
    <t>ежедневно</t>
  </si>
  <si>
    <t>((0чел.*8184,66 руб/чел.)+0квартир*8,74724руб/кв)*12</t>
  </si>
  <si>
    <t>.-обслуживание мусоропровода</t>
  </si>
  <si>
    <t>4 раз в мес.</t>
  </si>
  <si>
    <t>0чел*8184,66 руб./чел*12 мес.</t>
  </si>
  <si>
    <t>.-уборка лестничных клеток</t>
  </si>
  <si>
    <t>(0,7чел.*((3059+200)*1,15*1,5*1,083*1,302)+0,053руб./кв.м.асф.покр.*1130,3кв.м.)*12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</si>
  <si>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</si>
  <si>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</si>
  <si>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</si>
  <si>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</si>
  <si>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</si>
  <si>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>Компл. Об. Л.</t>
  </si>
  <si>
    <t xml:space="preserve">Освид. Лифтов </t>
  </si>
  <si>
    <t>4.Начисление за рекламу(аренда)</t>
  </si>
  <si>
    <t>Дымоходов</t>
  </si>
  <si>
    <t>137,5руб.*12мес.</t>
  </si>
  <si>
    <t>"Скартел"</t>
  </si>
  <si>
    <t>т/о ВДГО</t>
  </si>
  <si>
    <t>123,75руб.*12мес.</t>
  </si>
  <si>
    <t>"Уфанет"</t>
  </si>
  <si>
    <t>ПУТЭ(о.уз.авт. Рег.)</t>
  </si>
  <si>
    <t>150,00руб.*12мес.</t>
  </si>
  <si>
    <t>"Башинформсвязь"</t>
  </si>
  <si>
    <t>к-во лифтов</t>
  </si>
  <si>
    <t>"ЭРТелеком"</t>
  </si>
  <si>
    <t>к-во мусоропроводов</t>
  </si>
  <si>
    <t>"Вымпелком"</t>
  </si>
  <si>
    <t>к-во мусоропроводчиков.</t>
  </si>
  <si>
    <t>34,98 руб.*12мес.</t>
  </si>
  <si>
    <t>"Кристалл"</t>
  </si>
  <si>
    <t>3.Начисление арендаторам за установку кабелей ТВ</t>
  </si>
  <si>
    <t>непредвид</t>
  </si>
  <si>
    <t>Всего:</t>
  </si>
  <si>
    <t>к-во дворников</t>
  </si>
  <si>
    <t>к-во уб.л/кл</t>
  </si>
  <si>
    <t>Тр. На профосмотр</t>
  </si>
  <si>
    <t>К-во л/сч</t>
  </si>
  <si>
    <t>Пл. асфальта</t>
  </si>
  <si>
    <t>Пл. кровли</t>
  </si>
  <si>
    <t>Пл. подвала</t>
  </si>
  <si>
    <t>2. Начисление по нежилым помещениям</t>
  </si>
  <si>
    <t>Объем</t>
  </si>
  <si>
    <t>((113,78руб./чел.в мес.*97чел.*6мес.*1,65/12)+(127,20 руб./чел.в мес.*97чел.*6мес.*1,65/12))*1,18</t>
  </si>
  <si>
    <t>в т. ч. вывоз мусора (население)</t>
  </si>
  <si>
    <t>к-во польз. Усл.</t>
  </si>
  <si>
    <t>2286,1кв.м.*13,05руб.*12 мес.</t>
  </si>
  <si>
    <t>1.Начисление населению</t>
  </si>
  <si>
    <t>К-во кв.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</si>
  <si>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</si>
  <si>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</si>
  <si>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</si>
  <si>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</si>
  <si>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 xml:space="preserve">         ЖЭУ-69                (с НДС)</t>
  </si>
  <si>
    <t>Общая площадь, кв. м.</t>
  </si>
  <si>
    <t>Смета доходов  и расходов на содержание и текущий ремонт общедомового имущества дома № 36,  ул. Мира   на 2014г.</t>
  </si>
  <si>
    <t>План работ, согласно Постановлению Правительства РФ №731 от 23 сентября 2010г. п.11 пп.б.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</si>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</sst>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B13" sqref="B13"/>
    </sheetView>
  </sheetViews>
  <sheetFormatPr defaultRowHeight="15" x14ac:dyDescent="0.25"/>
  <cols>
    <col min="1" max="1" width="29.140625" customWidth="1"/>
    <col min="2" max="2" width="17.28515625" customWidth="1"/>
    <col min="3" max="3" width="29.85546875" customWidth="1"/>
    <col min="4" max="5" width="22.42578125" customWidth="1"/>
  </cols>
  <sheetData>
    <row r="1" spans="1:7" x14ac:dyDescent="0.25">
      <c r="C1" t="s">
        <v>132</v>
      </c>
    </row>
    <row r="2" spans="1:7" x14ac:dyDescent="0.25">
      <c r="C2" t="s">
        <v>131</v>
      </c>
    </row>
    <row r="3" spans="1:7" x14ac:dyDescent="0.25">
      <c r="C3" t="s">
        <v>130</v>
      </c>
    </row>
    <row r="5" spans="1:7" x14ac:dyDescent="0.25">
      <c r="C5" t="s">
        <v>129</v>
      </c>
    </row>
    <row r="7" spans="1:7" ht="18.75" x14ac:dyDescent="0.3">
      <c r="A7" s="2" t="s">
        <v>128</v>
      </c>
      <c r="B7" s="2"/>
      <c r="C7" s="2"/>
      <c r="D7" s="2"/>
      <c r="E7" s="2"/>
      <c r="F7" s="2"/>
    </row>
    <row r="8" spans="1:7" ht="18.75" x14ac:dyDescent="0.3">
      <c r="A8" s="2" t="s">
        <v>127</v>
      </c>
      <c r="B8" s="2"/>
      <c r="C8" s="2"/>
      <c r="D8" s="2"/>
      <c r="E8" s="2"/>
      <c r="F8" s="2"/>
    </row>
    <row r="11" spans="1:7" x14ac:dyDescent="0.25">
      <c r="A11" s="1" t="s">
        <v>126</v>
      </c>
      <c r="B11" s="1">
        <v>2286.1</v>
      </c>
      <c r="C11" s="1" t="s">
        <v>125</v>
      </c>
      <c r="D11" s="1"/>
      <c r="E11" s="1"/>
      <c r="F11" s="1"/>
      <c r="G11" s="1"/>
    </row>
    <row r="12" spans="1:7" ht="30" x14ac:dyDescent="0.25">
      <c r="A12" s="1" t="s">
        <v>124</v>
      </c>
      <c r="B12" s="1">
        <v>0</v>
      </c>
      <c r="C12" s="1"/>
      <c r="D12" s="1"/>
      <c r="E12" s="1"/>
      <c r="F12" s="1"/>
      <c r="G12" s="1"/>
    </row>
    <row r="13" spans="1:7" ht="30" x14ac:dyDescent="0.25">
      <c r="A13" s="1" t="s">
        <v>123</v>
      </c>
      <c r="B13" s="1" t="s">
        <v>82</v>
      </c>
      <c r="C13" s="1" t="s">
        <v>122</v>
      </c>
      <c r="D13" s="1" t="s">
        <v>121</v>
      </c>
      <c r="E13" s="1" t="s">
        <v>120</v>
      </c>
      <c r="F13" s="1">
        <v>32</v>
      </c>
      <c r="G13" s="1">
        <v>13.05</v>
      </c>
    </row>
    <row r="14" spans="1:7" x14ac:dyDescent="0.25">
      <c r="A14" s="1" t="s">
        <v>119</v>
      </c>
      <c r="B14" s="1">
        <f>B11*G13*12</f>
        <v>358003.26</v>
      </c>
      <c r="C14" s="1" t="s">
        <v>118</v>
      </c>
      <c r="D14" s="1" t="s">
        <v>10</v>
      </c>
      <c r="E14" s="1" t="s">
        <v>117</v>
      </c>
      <c r="F14" s="1">
        <v>97</v>
      </c>
      <c r="G14" s="1"/>
    </row>
    <row r="15" spans="1:7" ht="75" x14ac:dyDescent="0.25">
      <c r="A15" s="1" t="s">
        <v>116</v>
      </c>
      <c r="B15" s="1">
        <f>((113.78*1.65/12*F14*6)+(127.2*1.65/12*F14*6))*1.18</f>
        <v>22755.620910000001</v>
      </c>
      <c r="C15" s="1" t="s">
        <v>115</v>
      </c>
      <c r="D15" s="1"/>
      <c r="E15" s="1" t="s">
        <v>114</v>
      </c>
      <c r="F15" s="1">
        <v>11067</v>
      </c>
      <c r="G15" s="1"/>
    </row>
    <row r="16" spans="1:7" ht="30" x14ac:dyDescent="0.25">
      <c r="A16" s="1" t="s">
        <v>113</v>
      </c>
      <c r="B16" s="1">
        <f>B17+B20</f>
        <v>0</v>
      </c>
      <c r="C16" s="1"/>
      <c r="D16" s="1" t="s">
        <v>10</v>
      </c>
      <c r="E16" s="1" t="s">
        <v>112</v>
      </c>
      <c r="F16" s="1">
        <v>840</v>
      </c>
      <c r="G16" s="1"/>
    </row>
    <row r="17" spans="1:7" x14ac:dyDescent="0.25">
      <c r="A17" s="1"/>
      <c r="B17" s="1"/>
      <c r="C17" s="1"/>
      <c r="D17" s="1"/>
      <c r="E17" s="1" t="s">
        <v>111</v>
      </c>
      <c r="F17" s="1">
        <v>1092</v>
      </c>
      <c r="G17" s="1"/>
    </row>
    <row r="18" spans="1:7" x14ac:dyDescent="0.25">
      <c r="A18" s="1"/>
      <c r="B18" s="1"/>
      <c r="C18" s="1"/>
      <c r="D18" s="1"/>
      <c r="E18" s="1" t="s">
        <v>110</v>
      </c>
      <c r="F18" s="1">
        <v>1130.3</v>
      </c>
      <c r="G18" s="1"/>
    </row>
    <row r="19" spans="1:7" x14ac:dyDescent="0.25">
      <c r="A19" s="1"/>
      <c r="B19" s="1"/>
      <c r="C19" s="1"/>
      <c r="D19" s="1"/>
      <c r="E19" s="1" t="s">
        <v>109</v>
      </c>
      <c r="F19" s="1">
        <v>44</v>
      </c>
      <c r="G19" s="1"/>
    </row>
    <row r="20" spans="1:7" x14ac:dyDescent="0.25">
      <c r="A20" s="1"/>
      <c r="B20" s="1"/>
      <c r="C20" s="1"/>
      <c r="D20" s="1"/>
      <c r="E20" s="1" t="s">
        <v>108</v>
      </c>
      <c r="F20" s="1">
        <v>9.2799999999999994</v>
      </c>
      <c r="G20" s="1"/>
    </row>
    <row r="21" spans="1:7" x14ac:dyDescent="0.25">
      <c r="A21" s="1"/>
      <c r="B21" s="1"/>
      <c r="C21" s="1"/>
      <c r="D21" s="1"/>
      <c r="E21" s="1" t="s">
        <v>107</v>
      </c>
      <c r="F21" s="1">
        <v>0</v>
      </c>
      <c r="G21" s="1"/>
    </row>
    <row r="22" spans="1:7" x14ac:dyDescent="0.25">
      <c r="A22" s="1"/>
      <c r="B22" s="1"/>
      <c r="C22" s="1"/>
      <c r="D22" s="1"/>
      <c r="E22" s="1" t="s">
        <v>106</v>
      </c>
      <c r="F22" s="1">
        <v>0.7</v>
      </c>
      <c r="G22" s="1"/>
    </row>
    <row r="23" spans="1:7" x14ac:dyDescent="0.25">
      <c r="A23" s="1" t="s">
        <v>105</v>
      </c>
      <c r="B23" s="1">
        <f>B16+B14</f>
        <v>358003.26</v>
      </c>
      <c r="C23" s="1"/>
      <c r="D23" s="1"/>
      <c r="E23" s="1" t="s">
        <v>104</v>
      </c>
      <c r="F23" s="1">
        <v>264.97000000000003</v>
      </c>
      <c r="G23" s="1"/>
    </row>
    <row r="24" spans="1:7" ht="30" x14ac:dyDescent="0.25">
      <c r="A24" s="1" t="s">
        <v>103</v>
      </c>
      <c r="B24" s="1">
        <f>B25+B26+B27+B28+B29+B30</f>
        <v>6839.76</v>
      </c>
      <c r="C24" s="1"/>
      <c r="D24" s="1"/>
      <c r="E24" s="1"/>
      <c r="F24" s="1">
        <v>0.97</v>
      </c>
      <c r="G24" s="1"/>
    </row>
    <row r="25" spans="1:7" ht="30" x14ac:dyDescent="0.25">
      <c r="A25" s="1" t="s">
        <v>102</v>
      </c>
      <c r="B25" s="1">
        <f>34.98*12</f>
        <v>419.76</v>
      </c>
      <c r="C25" s="1" t="s">
        <v>101</v>
      </c>
      <c r="D25" s="1"/>
      <c r="E25" s="1" t="s">
        <v>100</v>
      </c>
      <c r="F25" s="1">
        <v>0</v>
      </c>
      <c r="G25" s="1"/>
    </row>
    <row r="26" spans="1:7" x14ac:dyDescent="0.25">
      <c r="A26" s="1" t="s">
        <v>99</v>
      </c>
      <c r="B26" s="1">
        <f>137.5*12</f>
        <v>1650</v>
      </c>
      <c r="C26" s="1" t="s">
        <v>88</v>
      </c>
      <c r="D26" s="1"/>
      <c r="E26" s="1" t="s">
        <v>98</v>
      </c>
      <c r="F26" s="1">
        <v>0</v>
      </c>
      <c r="G26" s="1"/>
    </row>
    <row r="27" spans="1:7" x14ac:dyDescent="0.25">
      <c r="A27" s="1" t="s">
        <v>97</v>
      </c>
      <c r="B27" s="1">
        <f>123.75*12</f>
        <v>1485</v>
      </c>
      <c r="C27" s="1" t="s">
        <v>91</v>
      </c>
      <c r="D27" s="1"/>
      <c r="E27" s="1" t="s">
        <v>96</v>
      </c>
      <c r="F27" s="1">
        <v>0</v>
      </c>
      <c r="G27" s="1"/>
    </row>
    <row r="28" spans="1:7" x14ac:dyDescent="0.25">
      <c r="A28" s="1" t="s">
        <v>95</v>
      </c>
      <c r="B28" s="1">
        <f>150*12</f>
        <v>1800</v>
      </c>
      <c r="C28" s="1" t="s">
        <v>94</v>
      </c>
      <c r="D28" s="1"/>
      <c r="E28" s="1" t="s">
        <v>93</v>
      </c>
      <c r="F28" s="1">
        <v>1393.02</v>
      </c>
      <c r="G28" s="1"/>
    </row>
    <row r="29" spans="1:7" x14ac:dyDescent="0.25">
      <c r="A29" s="1" t="s">
        <v>92</v>
      </c>
      <c r="B29" s="1">
        <f>123.75*12</f>
        <v>1485</v>
      </c>
      <c r="C29" s="1" t="s">
        <v>91</v>
      </c>
      <c r="D29" s="1"/>
      <c r="E29" s="1" t="s">
        <v>90</v>
      </c>
      <c r="F29" s="1">
        <v>0</v>
      </c>
      <c r="G29" s="1"/>
    </row>
    <row r="30" spans="1:7" x14ac:dyDescent="0.25">
      <c r="A30" s="1" t="s">
        <v>89</v>
      </c>
      <c r="B30" s="1">
        <f>0*12</f>
        <v>0</v>
      </c>
      <c r="C30" s="1" t="s">
        <v>88</v>
      </c>
      <c r="D30" s="1"/>
      <c r="E30" s="1" t="s">
        <v>87</v>
      </c>
      <c r="F30" s="1">
        <v>0</v>
      </c>
      <c r="G30" s="1"/>
    </row>
    <row r="31" spans="1:7" ht="30" x14ac:dyDescent="0.25">
      <c r="A31" s="1" t="s">
        <v>86</v>
      </c>
      <c r="B31" s="1">
        <v>0</v>
      </c>
      <c r="C31" s="1"/>
      <c r="D31" s="1"/>
      <c r="E31" s="1" t="s">
        <v>85</v>
      </c>
      <c r="F31" s="1">
        <v>0</v>
      </c>
      <c r="G31" s="1"/>
    </row>
    <row r="32" spans="1:7" x14ac:dyDescent="0.25">
      <c r="A32" s="1" t="s">
        <v>7</v>
      </c>
      <c r="B32" s="1">
        <f>B23+B24+B31</f>
        <v>364843.02</v>
      </c>
      <c r="C32" s="1"/>
      <c r="D32" s="1"/>
      <c r="E32" s="1" t="s">
        <v>84</v>
      </c>
      <c r="F32" s="1">
        <v>0</v>
      </c>
      <c r="G32" s="1"/>
    </row>
    <row r="33" spans="1:7" ht="30" x14ac:dyDescent="0.25">
      <c r="A33" s="1" t="s">
        <v>83</v>
      </c>
      <c r="B33" s="1" t="s">
        <v>82</v>
      </c>
      <c r="C33" s="1" t="s">
        <v>81</v>
      </c>
      <c r="D33" s="1"/>
      <c r="E33" s="1"/>
      <c r="F33" s="1"/>
      <c r="G33" s="1"/>
    </row>
    <row r="34" spans="1:7" x14ac:dyDescent="0.25">
      <c r="A34" s="1" t="s">
        <v>80</v>
      </c>
      <c r="B34" s="1"/>
      <c r="C34" s="1"/>
      <c r="D34" s="1"/>
      <c r="E34" s="1"/>
      <c r="F34" s="1"/>
      <c r="G34" s="1"/>
    </row>
    <row r="35" spans="1:7" ht="45" x14ac:dyDescent="0.25">
      <c r="A35" s="1" t="s">
        <v>79</v>
      </c>
      <c r="B35" s="1">
        <f>(F22*((3059+200)*1.15*1.5*1.083*1.302)+0.053*F18)*12</f>
        <v>67306.290612059995</v>
      </c>
      <c r="C35" s="1" t="s">
        <v>78</v>
      </c>
      <c r="D35" s="1" t="s">
        <v>72</v>
      </c>
      <c r="E35" s="1"/>
      <c r="F35" s="1"/>
      <c r="G35" s="1"/>
    </row>
    <row r="36" spans="1:7" x14ac:dyDescent="0.25">
      <c r="A36" s="1" t="s">
        <v>77</v>
      </c>
      <c r="B36" s="1">
        <f>F21*8184.66*12</f>
        <v>0</v>
      </c>
      <c r="C36" s="1" t="s">
        <v>76</v>
      </c>
      <c r="D36" s="1" t="s">
        <v>75</v>
      </c>
      <c r="E36" s="1"/>
      <c r="F36" s="1"/>
      <c r="G36" s="1"/>
    </row>
    <row r="37" spans="1:7" ht="45" x14ac:dyDescent="0.25">
      <c r="A37" s="1" t="s">
        <v>74</v>
      </c>
      <c r="B37" s="1">
        <f>((F25*8184.66)+F13*8.74724)*12*0</f>
        <v>0</v>
      </c>
      <c r="C37" s="1" t="s">
        <v>73</v>
      </c>
      <c r="D37" s="1" t="s">
        <v>72</v>
      </c>
      <c r="E37" s="1"/>
      <c r="F37" s="1"/>
      <c r="G37" s="1"/>
    </row>
    <row r="38" spans="1:7" ht="30" x14ac:dyDescent="0.25">
      <c r="A38" s="1" t="s">
        <v>71</v>
      </c>
      <c r="B38" s="1">
        <f>266.83*0.02*F14*12</f>
        <v>6211.8023999999987</v>
      </c>
      <c r="C38" s="1" t="s">
        <v>70</v>
      </c>
      <c r="D38" s="1" t="s">
        <v>45</v>
      </c>
      <c r="E38" s="1"/>
      <c r="F38" s="1"/>
      <c r="G38" s="1"/>
    </row>
    <row r="39" spans="1:7" ht="30" x14ac:dyDescent="0.25">
      <c r="A39" s="1" t="s">
        <v>69</v>
      </c>
      <c r="B39" s="1">
        <f>(16.21*F13)+(17.07*F13)</f>
        <v>1064.96</v>
      </c>
      <c r="C39" s="1" t="s">
        <v>68</v>
      </c>
      <c r="D39" s="1" t="s">
        <v>67</v>
      </c>
      <c r="E39" s="1"/>
      <c r="F39" s="1"/>
      <c r="G39" s="1"/>
    </row>
    <row r="40" spans="1:7" ht="45" x14ac:dyDescent="0.25">
      <c r="A40" s="1" t="s">
        <v>66</v>
      </c>
      <c r="B40" s="1">
        <f>(2*47.84*F30)+(2*50.38*F30)</f>
        <v>0</v>
      </c>
      <c r="C40" s="1" t="s">
        <v>65</v>
      </c>
      <c r="D40" s="1" t="s">
        <v>64</v>
      </c>
      <c r="E40" s="1"/>
      <c r="F40" s="1"/>
      <c r="G40" s="1"/>
    </row>
    <row r="41" spans="1:7" ht="45" x14ac:dyDescent="0.25">
      <c r="A41" s="1" t="s">
        <v>63</v>
      </c>
      <c r="B41" s="1">
        <f>((6*0.21*F16)+(6*0.22*F16))</f>
        <v>2167.1999999999998</v>
      </c>
      <c r="C41" s="1" t="s">
        <v>62</v>
      </c>
      <c r="D41" s="1" t="s">
        <v>10</v>
      </c>
      <c r="E41" s="1"/>
      <c r="F41" s="1"/>
      <c r="G41" s="1"/>
    </row>
    <row r="42" spans="1:7" ht="60" x14ac:dyDescent="0.25">
      <c r="A42" s="1" t="s">
        <v>61</v>
      </c>
      <c r="B42" s="1">
        <f>(2*0.62*F16)+(2*0.65*F16)</f>
        <v>2133.6</v>
      </c>
      <c r="C42" s="1" t="s">
        <v>60</v>
      </c>
      <c r="D42" s="1" t="s">
        <v>59</v>
      </c>
      <c r="E42" s="1"/>
      <c r="F42" s="1"/>
      <c r="G42" s="1"/>
    </row>
    <row r="43" spans="1:7" ht="30" x14ac:dyDescent="0.25">
      <c r="A43" s="1" t="s">
        <v>58</v>
      </c>
      <c r="B43" s="1">
        <f>F28*12/1.18</f>
        <v>14166.305084745762</v>
      </c>
      <c r="C43" s="1" t="s">
        <v>57</v>
      </c>
      <c r="D43" s="1" t="s">
        <v>10</v>
      </c>
      <c r="E43" s="1"/>
      <c r="F43" s="1"/>
      <c r="G43" s="1"/>
    </row>
    <row r="44" spans="1:7" ht="45" x14ac:dyDescent="0.25">
      <c r="A44" s="1" t="s">
        <v>56</v>
      </c>
      <c r="B44" s="1">
        <f>G28*12/1.18</f>
        <v>0</v>
      </c>
      <c r="C44" s="1" t="s">
        <v>55</v>
      </c>
      <c r="D44" s="1" t="s">
        <v>10</v>
      </c>
      <c r="E44" s="1"/>
      <c r="F44" s="1"/>
      <c r="G44" s="1"/>
    </row>
    <row r="45" spans="1:7" ht="30" x14ac:dyDescent="0.25">
      <c r="A45" s="1" t="s">
        <v>54</v>
      </c>
      <c r="B45" s="1">
        <f>F32*F27*12</f>
        <v>0</v>
      </c>
      <c r="C45" s="1" t="s">
        <v>53</v>
      </c>
      <c r="D45" s="1" t="s">
        <v>10</v>
      </c>
      <c r="E45" s="1"/>
      <c r="F45" s="1"/>
      <c r="G45" s="1"/>
    </row>
    <row r="46" spans="1:7" ht="30" x14ac:dyDescent="0.25">
      <c r="A46" s="1" t="s">
        <v>52</v>
      </c>
      <c r="B46" s="1">
        <f>F31/1.18*F27</f>
        <v>0</v>
      </c>
      <c r="C46" s="1" t="s">
        <v>51</v>
      </c>
      <c r="D46" s="1" t="s">
        <v>50</v>
      </c>
      <c r="E46" s="1"/>
      <c r="F46" s="1"/>
      <c r="G46" s="1"/>
    </row>
    <row r="47" spans="1:7" ht="60" x14ac:dyDescent="0.25">
      <c r="A47" s="1" t="s">
        <v>49</v>
      </c>
      <c r="B47" s="1">
        <f>(113.78*1.65/12*F14*6)+(127.2*1.65/12*F14*6)</f>
        <v>19284.424500000001</v>
      </c>
      <c r="C47" s="1" t="s">
        <v>48</v>
      </c>
      <c r="D47" s="1" t="s">
        <v>45</v>
      </c>
      <c r="E47" s="1"/>
      <c r="F47" s="1"/>
      <c r="G47" s="1"/>
    </row>
    <row r="48" spans="1:7" x14ac:dyDescent="0.25">
      <c r="A48" s="1" t="s">
        <v>47</v>
      </c>
      <c r="B48" s="1">
        <f>0*176.76*12</f>
        <v>0</v>
      </c>
      <c r="C48" s="1" t="s">
        <v>46</v>
      </c>
      <c r="D48" s="1" t="s">
        <v>45</v>
      </c>
      <c r="E48" s="1"/>
      <c r="F48" s="1"/>
      <c r="G48" s="1"/>
    </row>
    <row r="49" spans="1:7" x14ac:dyDescent="0.25">
      <c r="A49" s="1" t="s">
        <v>44</v>
      </c>
      <c r="B49" s="1">
        <f>B35+B36+B37+B38+B39+B40+B41+B42+B43+B44+B45+B47+B48+B46</f>
        <v>112334.58259680576</v>
      </c>
      <c r="C49" s="1"/>
      <c r="D49" s="1"/>
      <c r="E49" s="1"/>
      <c r="F49" s="1"/>
      <c r="G49" s="1"/>
    </row>
    <row r="50" spans="1:7" x14ac:dyDescent="0.25">
      <c r="A50" s="1" t="s">
        <v>43</v>
      </c>
      <c r="B50" s="1"/>
      <c r="C50" s="1"/>
      <c r="D50" s="1"/>
      <c r="E50" s="1"/>
      <c r="F50" s="1"/>
      <c r="G50" s="1"/>
    </row>
    <row r="51" spans="1:7" ht="45" x14ac:dyDescent="0.25">
      <c r="A51" s="1" t="s">
        <v>42</v>
      </c>
      <c r="B51" s="1">
        <f>(F20*82.67+0.518*(B11+B12)*12)</f>
        <v>14977.575199999999</v>
      </c>
      <c r="C51" s="1" t="s">
        <v>41</v>
      </c>
      <c r="D51" s="1"/>
      <c r="E51" s="1"/>
      <c r="F51" s="1"/>
      <c r="G51" s="1"/>
    </row>
    <row r="52" spans="1:7" x14ac:dyDescent="0.25">
      <c r="A52" s="1" t="s">
        <v>40</v>
      </c>
      <c r="B52" s="1">
        <f>14.86*F17</f>
        <v>16227.119999999999</v>
      </c>
      <c r="C52" s="1" t="s">
        <v>39</v>
      </c>
      <c r="D52" s="1" t="s">
        <v>38</v>
      </c>
      <c r="E52" s="1"/>
      <c r="F52" s="1"/>
      <c r="G52" s="1"/>
    </row>
    <row r="53" spans="1:7" ht="180" x14ac:dyDescent="0.25">
      <c r="A53" s="1" t="s">
        <v>37</v>
      </c>
      <c r="B53" s="1">
        <v>0</v>
      </c>
      <c r="C53" s="1"/>
      <c r="D53" s="1"/>
      <c r="E53" s="1"/>
      <c r="F53" s="1"/>
      <c r="G53" s="1"/>
    </row>
    <row r="54" spans="1:7" x14ac:dyDescent="0.25">
      <c r="A54" s="1" t="s">
        <v>36</v>
      </c>
      <c r="B54" s="1">
        <v>0</v>
      </c>
      <c r="C54" s="1"/>
      <c r="D54" s="1"/>
      <c r="E54" s="1"/>
      <c r="F54" s="1"/>
      <c r="G54" s="1"/>
    </row>
    <row r="55" spans="1:7" ht="60" x14ac:dyDescent="0.25">
      <c r="A55" s="1" t="s">
        <v>35</v>
      </c>
      <c r="B55" s="1">
        <f>(560.69+208.49/3)*F15/1000</f>
        <v>6974.2758400000012</v>
      </c>
      <c r="C55" s="1" t="s">
        <v>34</v>
      </c>
      <c r="D55" s="1" t="s">
        <v>33</v>
      </c>
      <c r="E55" s="1"/>
      <c r="F55" s="1"/>
      <c r="G55" s="1"/>
    </row>
    <row r="56" spans="1:7" ht="30" x14ac:dyDescent="0.25">
      <c r="A56" s="1" t="s">
        <v>32</v>
      </c>
      <c r="B56" s="1">
        <v>0</v>
      </c>
      <c r="C56" s="1"/>
      <c r="D56" s="1"/>
      <c r="E56" s="1"/>
      <c r="F56" s="1"/>
      <c r="G56" s="1"/>
    </row>
    <row r="57" spans="1:7" ht="45" x14ac:dyDescent="0.25">
      <c r="A57" s="1" t="s">
        <v>31</v>
      </c>
      <c r="B57" s="1">
        <f>(F23*82.67)+(F23*82.67/1.302)*0.25</f>
        <v>26111.112507526886</v>
      </c>
      <c r="C57" s="1" t="s">
        <v>30</v>
      </c>
      <c r="D57" s="1"/>
      <c r="E57" s="1"/>
      <c r="F57" s="1"/>
      <c r="G57" s="1"/>
    </row>
    <row r="58" spans="1:7" x14ac:dyDescent="0.25">
      <c r="A58" s="1" t="s">
        <v>29</v>
      </c>
      <c r="B58" s="1">
        <f>B51+B52+B53+B54+B55+B56+B57</f>
        <v>64290.083547526883</v>
      </c>
      <c r="C58" s="1"/>
      <c r="D58" s="1"/>
      <c r="E58" s="1"/>
      <c r="F58" s="1"/>
      <c r="G58" s="1"/>
    </row>
    <row r="59" spans="1:7" x14ac:dyDescent="0.25">
      <c r="A59" s="1" t="s">
        <v>28</v>
      </c>
      <c r="B59" s="1"/>
      <c r="C59" s="1"/>
      <c r="D59" s="1"/>
      <c r="E59" s="1"/>
      <c r="F59" s="1"/>
      <c r="G59" s="1"/>
    </row>
    <row r="60" spans="1:7" x14ac:dyDescent="0.25">
      <c r="A60" s="1" t="s">
        <v>27</v>
      </c>
      <c r="B60" s="1"/>
      <c r="C60" s="1"/>
      <c r="D60" s="1"/>
      <c r="E60" s="1"/>
      <c r="F60" s="1"/>
      <c r="G60" s="1"/>
    </row>
    <row r="61" spans="1:7" x14ac:dyDescent="0.25">
      <c r="A61" s="1" t="s">
        <v>26</v>
      </c>
      <c r="B61" s="1"/>
      <c r="C61" s="1"/>
      <c r="D61" s="1"/>
      <c r="E61" s="1"/>
      <c r="F61" s="1"/>
      <c r="G61" s="1"/>
    </row>
    <row r="62" spans="1:7" x14ac:dyDescent="0.25">
      <c r="A62" s="1" t="s">
        <v>25</v>
      </c>
      <c r="B62" s="1"/>
      <c r="C62" s="1"/>
      <c r="D62" s="1"/>
      <c r="E62" s="1"/>
      <c r="F62" s="1"/>
      <c r="G62" s="1"/>
    </row>
    <row r="63" spans="1:7" x14ac:dyDescent="0.25">
      <c r="A63" s="1" t="s">
        <v>24</v>
      </c>
      <c r="B63" s="1"/>
      <c r="C63" s="1"/>
      <c r="D63" s="1"/>
      <c r="E63" s="1"/>
      <c r="F63" s="1"/>
      <c r="G63" s="1"/>
    </row>
    <row r="64" spans="1:7" ht="30" x14ac:dyDescent="0.25">
      <c r="A64" s="1" t="s">
        <v>23</v>
      </c>
      <c r="B64" s="1"/>
      <c r="C64" s="1"/>
      <c r="D64" s="1"/>
      <c r="E64" s="1"/>
      <c r="F64" s="1"/>
      <c r="G64" s="1"/>
    </row>
    <row r="65" spans="1:7" x14ac:dyDescent="0.25">
      <c r="A65" s="1" t="s">
        <v>22</v>
      </c>
      <c r="B65" s="1"/>
      <c r="C65" s="1"/>
      <c r="D65" s="1"/>
      <c r="E65" s="1"/>
      <c r="F65" s="1"/>
      <c r="G65" s="1"/>
    </row>
    <row r="66" spans="1:7" x14ac:dyDescent="0.25">
      <c r="A66" s="1" t="s">
        <v>21</v>
      </c>
      <c r="B66" s="1">
        <f>B60+B61+B62+B63+B64+B65</f>
        <v>0</v>
      </c>
      <c r="C66" s="1"/>
      <c r="D66" s="1"/>
      <c r="E66" s="1"/>
      <c r="F66" s="1"/>
      <c r="G66" s="1"/>
    </row>
    <row r="67" spans="1:7" ht="30" x14ac:dyDescent="0.25">
      <c r="A67" s="1" t="s">
        <v>20</v>
      </c>
      <c r="B67" s="1">
        <f>2.096*(B11+B12)</f>
        <v>4791.6656000000003</v>
      </c>
      <c r="C67" s="1" t="s">
        <v>19</v>
      </c>
      <c r="D67" s="1" t="s">
        <v>10</v>
      </c>
      <c r="E67" s="1"/>
      <c r="F67" s="1"/>
      <c r="G67" s="1"/>
    </row>
    <row r="68" spans="1:7" x14ac:dyDescent="0.25">
      <c r="A68" s="1" t="s">
        <v>18</v>
      </c>
      <c r="B68" s="1">
        <f>1.28*(B11+B12)</f>
        <v>2926.2080000000001</v>
      </c>
      <c r="C68" s="1" t="s">
        <v>17</v>
      </c>
      <c r="D68" s="1" t="s">
        <v>10</v>
      </c>
      <c r="E68" s="1"/>
      <c r="F68" s="1"/>
      <c r="G68" s="1"/>
    </row>
    <row r="69" spans="1:7" ht="30" x14ac:dyDescent="0.25">
      <c r="A69" s="1" t="s">
        <v>16</v>
      </c>
      <c r="B69" s="1">
        <f>(B49+B58)*0.166</f>
        <v>29319.694579959221</v>
      </c>
      <c r="C69" s="1" t="s">
        <v>15</v>
      </c>
      <c r="D69" s="1" t="s">
        <v>10</v>
      </c>
      <c r="E69" s="1"/>
      <c r="F69" s="1"/>
      <c r="G69" s="1"/>
    </row>
    <row r="70" spans="1:7" ht="30" x14ac:dyDescent="0.25">
      <c r="A70" s="1" t="s">
        <v>14</v>
      </c>
      <c r="B70" s="1">
        <f>F24*B11*12</f>
        <v>26610.203999999998</v>
      </c>
      <c r="C70" s="1" t="s">
        <v>13</v>
      </c>
      <c r="D70" s="1" t="s">
        <v>10</v>
      </c>
      <c r="E70" s="1"/>
      <c r="F70" s="1"/>
      <c r="G70" s="1"/>
    </row>
    <row r="71" spans="1:7" ht="45" x14ac:dyDescent="0.25">
      <c r="A71" s="1" t="s">
        <v>12</v>
      </c>
      <c r="B71" s="1">
        <f>(B49+B58+B69)*0.159</f>
        <v>32745.153355162409</v>
      </c>
      <c r="C71" s="1" t="s">
        <v>11</v>
      </c>
      <c r="D71" s="1" t="s">
        <v>10</v>
      </c>
      <c r="E71" s="1"/>
      <c r="F71" s="1"/>
      <c r="G71" s="1"/>
    </row>
    <row r="72" spans="1:7" x14ac:dyDescent="0.25">
      <c r="A72" s="1" t="s">
        <v>9</v>
      </c>
      <c r="B72" s="1">
        <f>B67+B68+B69+B70+B71</f>
        <v>96392.925535121627</v>
      </c>
      <c r="C72" s="1"/>
      <c r="D72" s="1"/>
      <c r="E72" s="1"/>
      <c r="F72" s="1"/>
      <c r="G72" s="1"/>
    </row>
    <row r="73" spans="1:7" x14ac:dyDescent="0.25">
      <c r="A73" s="1" t="s">
        <v>8</v>
      </c>
      <c r="B73" s="1">
        <f>(B49+B58+B66+B72)*3%</f>
        <v>8190.5277503836278</v>
      </c>
      <c r="C73" s="1"/>
      <c r="D73" s="1"/>
      <c r="E73" s="1"/>
      <c r="F73" s="1"/>
      <c r="G73" s="1"/>
    </row>
    <row r="74" spans="1:7" x14ac:dyDescent="0.25">
      <c r="A74" s="1" t="s">
        <v>7</v>
      </c>
      <c r="B74" s="1">
        <f>B49+B58+B66+B72+B73</f>
        <v>281208.11942983791</v>
      </c>
      <c r="C74" s="1"/>
      <c r="D74" s="1"/>
      <c r="E74" s="1"/>
      <c r="F74" s="1"/>
      <c r="G74" s="1"/>
    </row>
    <row r="75" spans="1:7" x14ac:dyDescent="0.25">
      <c r="A75" s="1" t="s">
        <v>6</v>
      </c>
      <c r="B75" s="1">
        <f>B74*1.18</f>
        <v>331825.58092720871</v>
      </c>
      <c r="C75" s="1"/>
      <c r="D75" s="1"/>
      <c r="E75" s="1"/>
      <c r="F75" s="1"/>
      <c r="G75" s="1"/>
    </row>
    <row r="76" spans="1:7" x14ac:dyDescent="0.25">
      <c r="A76" s="1"/>
      <c r="B76" s="1">
        <f>B32-B75</f>
        <v>33017.439072791312</v>
      </c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ht="45" x14ac:dyDescent="0.25">
      <c r="A78" s="1" t="s">
        <v>5</v>
      </c>
      <c r="B78" s="1"/>
      <c r="C78" s="1"/>
      <c r="D78" s="1"/>
      <c r="E78" s="1"/>
      <c r="F78" s="1"/>
      <c r="G78" s="1"/>
    </row>
    <row r="79" spans="1:7" ht="120" x14ac:dyDescent="0.25">
      <c r="A79" s="1" t="s">
        <v>4</v>
      </c>
      <c r="B79" s="1"/>
      <c r="C79" s="1"/>
      <c r="D79" s="1"/>
      <c r="E79" s="1"/>
      <c r="F79" s="1"/>
      <c r="G79" s="1"/>
    </row>
    <row r="80" spans="1:7" ht="135" x14ac:dyDescent="0.25">
      <c r="A80" s="1" t="s">
        <v>3</v>
      </c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 t="s">
        <v>2</v>
      </c>
      <c r="B85" s="1"/>
      <c r="C85" s="1" t="s">
        <v>1</v>
      </c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 t="s">
        <v>0</v>
      </c>
      <c r="B87" s="1"/>
      <c r="C87" s="1">
        <v>-42303.1</v>
      </c>
      <c r="D87" s="1"/>
      <c r="E87" s="1"/>
      <c r="F87" s="1"/>
      <c r="G87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Мира,36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2015-05-20T07:55:39Z</dcterms:created>
  <dcterms:modified xsi:type="dcterms:W3CDTF">2015-05-20T07:56:36Z</dcterms:modified>
</cp:coreProperties>
</file>